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E:\"/>
    </mc:Choice>
  </mc:AlternateContent>
  <xr:revisionPtr revIDLastSave="0" documentId="13_ncr:1_{FA5E34FF-2AFD-4F61-B8E1-00490266B01E}" xr6:coauthVersionLast="47" xr6:coauthVersionMax="47" xr10:uidLastSave="{00000000-0000-0000-0000-000000000000}"/>
  <bookViews>
    <workbookView xWindow="-108" yWindow="-108" windowWidth="23256" windowHeight="12456" tabRatio="690"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Project balances" sheetId="22" r:id="rId8"/>
    <sheet name="Data Entry" sheetId="18" r:id="rId9"/>
    <sheet name="Calculations" sheetId="16" r:id="rId10"/>
    <sheet name="BSA55" sheetId="21" r:id="rId11"/>
    <sheet name="Instructions" sheetId="13" r:id="rId12"/>
  </sheets>
  <externalReferences>
    <externalReference r:id="rId13"/>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10">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Instructions!$C$16</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Instructions!$C$18</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Instructions!$C$15</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Instructions!$C$17</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Instructions!$C$13</definedName>
    <definedName name="Pg1General">Instructions!$C$9</definedName>
    <definedName name="Pg1Line37">Instructions!$C$12</definedName>
    <definedName name="Pg1Program550">Instructions!$C$10</definedName>
    <definedName name="Pg2DebtService">Instructions!$C$26</definedName>
    <definedName name="Pg2ExpensesByType">Instructions!$C$22</definedName>
    <definedName name="pg2FTE">#REF!</definedName>
    <definedName name="Pg2InstructionalImprovementProj">Instructions!$C$24</definedName>
    <definedName name="Pg2Line1">Instructions!$C$20</definedName>
    <definedName name="Pg2Line9">Instructions!$C$21</definedName>
    <definedName name="Pg2Lines3and4">Instructions!$C$25</definedName>
    <definedName name="Pg2SpecialEd">Instructions!$C$19</definedName>
    <definedName name="Pg2StateEqualAssist">Instructions!$C$23</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9">Calculations!$A$1:$O$90</definedName>
    <definedName name="_xlnm.Print_Area" localSheetId="1">'Charter Contacts'!$A$1:$I$49</definedName>
    <definedName name="_xlnm.Print_Area" localSheetId="0">Cover!$A$1:$S$42</definedName>
    <definedName name="_xlnm.Print_Area" localSheetId="8">'Data Entry'!$A$1:$P$83</definedName>
    <definedName name="_xlnm.Print_Area" localSheetId="11">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1">Instructions!$1:$1</definedName>
    <definedName name="PriorYearSalary">Cover!$R$33</definedName>
    <definedName name="ProjectBalancesLine1">Instructions!$C$33</definedName>
    <definedName name="ProjectBalancesLine2a">Instructions!$C$34</definedName>
    <definedName name="ProjectBalancesLine2b">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Instructions!$C$14</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22" l="1"/>
  <c r="N30" i="3"/>
  <c r="G8" i="2"/>
  <c r="F8" i="2"/>
  <c r="N71" i="18"/>
  <c r="M30" i="11" a="1"/>
  <c r="M30" i="11" s="1"/>
  <c r="M17" i="11" a="1"/>
  <c r="M17" i="11" s="1"/>
  <c r="M42" i="11" a="1"/>
  <c r="M42" i="11" s="1"/>
  <c r="M38" i="11" a="1"/>
  <c r="M38" i="11" s="1"/>
  <c r="M37" i="11" a="1"/>
  <c r="M37" i="11" s="1"/>
  <c r="M36" i="11" a="1"/>
  <c r="M36" i="11" s="1"/>
  <c r="M35" i="11" a="1"/>
  <c r="M35" i="11" s="1"/>
  <c r="M34" i="11" a="1"/>
  <c r="M34" i="11" s="1"/>
  <c r="M33" i="11" a="1"/>
  <c r="M33" i="11" s="1"/>
  <c r="M32" i="11" a="1"/>
  <c r="M32" i="11" s="1"/>
  <c r="M21" i="11" a="1"/>
  <c r="M21" i="11" s="1"/>
  <c r="M16" i="11" a="1"/>
  <c r="M16" i="11" s="1"/>
  <c r="M15" i="11" a="1"/>
  <c r="M15" i="11" s="1"/>
  <c r="M14" i="11" a="1"/>
  <c r="M14" i="11" s="1"/>
  <c r="M13" i="11" a="1"/>
  <c r="M13" i="11" s="1"/>
  <c r="M12" i="11" a="1"/>
  <c r="M12" i="11" s="1"/>
  <c r="M11" i="11" a="1"/>
  <c r="M11" i="11" s="1"/>
  <c r="M9" i="11" a="1"/>
  <c r="M9" i="11" s="1"/>
  <c r="J12" i="9" a="1"/>
  <c r="J12" i="9" s="1"/>
  <c r="J11" i="9" a="1"/>
  <c r="J11" i="9" s="1"/>
  <c r="J10" i="9" a="1"/>
  <c r="J10" i="9" s="1"/>
  <c r="J9" i="9" a="1"/>
  <c r="J9" i="9" s="1"/>
  <c r="M22" i="11" l="1" a="1"/>
  <c r="M22" i="11" s="1"/>
  <c r="F42" i="11" l="1"/>
  <c r="F38" i="11"/>
  <c r="F37" i="11"/>
  <c r="F36" i="11"/>
  <c r="F35" i="11"/>
  <c r="F34" i="11"/>
  <c r="F33" i="11"/>
  <c r="F32" i="11"/>
  <c r="F30" i="11"/>
  <c r="F21" i="11"/>
  <c r="F17" i="11"/>
  <c r="F16" i="11"/>
  <c r="F15" i="11"/>
  <c r="F14" i="11"/>
  <c r="F13" i="11"/>
  <c r="F12" i="11"/>
  <c r="F11" i="11"/>
  <c r="F9" i="11"/>
  <c r="D34" i="3" l="1"/>
  <c r="D31" i="3"/>
  <c r="D40" i="3" a="1"/>
  <c r="D40" i="3" s="1"/>
  <c r="M14" i="3" a="1"/>
  <c r="M14" i="3" s="1"/>
  <c r="D48" i="3"/>
  <c r="D45" i="3"/>
  <c r="D42" i="3"/>
  <c r="D41" i="3"/>
  <c r="M23" i="3"/>
  <c r="M22" i="3"/>
  <c r="M21" i="3"/>
  <c r="M11" i="3"/>
  <c r="M10" i="3"/>
  <c r="M9" i="3"/>
  <c r="M8" i="3"/>
  <c r="M7" i="3"/>
  <c r="M6" i="3"/>
  <c r="D35" i="3"/>
  <c r="D33" i="3"/>
  <c r="D32" i="3"/>
  <c r="D30" i="3"/>
  <c r="D29" i="3"/>
  <c r="D28" i="3"/>
  <c r="D27" i="3"/>
  <c r="D26" i="3"/>
  <c r="D25" i="3"/>
  <c r="D24" i="3"/>
  <c r="D20" i="3"/>
  <c r="D19" i="3"/>
  <c r="D18" i="3"/>
  <c r="D17" i="3"/>
  <c r="D16" i="3"/>
  <c r="D15" i="3"/>
  <c r="D14" i="3"/>
  <c r="D13" i="3"/>
  <c r="D12" i="3"/>
  <c r="D11" i="3"/>
  <c r="D10" i="3"/>
  <c r="D9" i="3"/>
  <c r="D8" i="3"/>
  <c r="D7" i="3"/>
  <c r="K47" i="2"/>
  <c r="K46" i="2"/>
  <c r="K42" i="2"/>
  <c r="K41" i="2"/>
  <c r="K40" i="2"/>
  <c r="K36" i="2"/>
  <c r="K35" i="2"/>
  <c r="K34" i="2"/>
  <c r="K33" i="2"/>
  <c r="K32" i="2"/>
  <c r="K31" i="2"/>
  <c r="K30" i="2"/>
  <c r="K29" i="2"/>
  <c r="K28" i="2"/>
  <c r="K27" i="2"/>
  <c r="K22" i="2"/>
  <c r="K21" i="2"/>
  <c r="K20" i="2"/>
  <c r="K19" i="2"/>
  <c r="K18" i="2"/>
  <c r="K16" i="2"/>
  <c r="K11" i="2"/>
  <c r="J44" i="2"/>
  <c r="H1" i="22" l="1"/>
  <c r="E1" i="22"/>
  <c r="B1" i="22"/>
  <c r="C25" i="22"/>
  <c r="C18" i="22"/>
  <c r="C15" i="22"/>
  <c r="C68" i="21"/>
  <c r="C66" i="21"/>
  <c r="A60" i="21"/>
  <c r="H55" i="21"/>
  <c r="H54" i="21"/>
  <c r="E58" i="21" s="1"/>
  <c r="E51" i="21"/>
  <c r="H50" i="21"/>
  <c r="G44" i="21"/>
  <c r="E44" i="21"/>
  <c r="A36"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G66" i="21" s="1"/>
  <c r="G68" i="21" s="1"/>
  <c r="D9" i="21"/>
  <c r="C9" i="21"/>
  <c r="B9" i="21"/>
  <c r="H8" i="21"/>
  <c r="G8" i="21"/>
  <c r="F8" i="21"/>
  <c r="E8" i="21"/>
  <c r="B8" i="21"/>
  <c r="A3" i="21"/>
  <c r="I1" i="21"/>
  <c r="E1" i="21"/>
  <c r="B1" i="21"/>
  <c r="N89" i="16"/>
  <c r="G74" i="16"/>
  <c r="F74" i="16"/>
  <c r="G73" i="16"/>
  <c r="F73" i="16"/>
  <c r="G72" i="16"/>
  <c r="G75" i="16" s="1"/>
  <c r="N75" i="16" s="1"/>
  <c r="F72" i="16"/>
  <c r="F75" i="16" s="1"/>
  <c r="N74" i="16" s="1"/>
  <c r="N50" i="16"/>
  <c r="L50" i="16"/>
  <c r="N48" i="16"/>
  <c r="L48" i="16"/>
  <c r="N46" i="16"/>
  <c r="L46" i="16"/>
  <c r="N45" i="16"/>
  <c r="L45" i="16"/>
  <c r="N42" i="16"/>
  <c r="L42" i="16"/>
  <c r="N40" i="16"/>
  <c r="L40" i="16"/>
  <c r="N38" i="16"/>
  <c r="L38" i="16"/>
  <c r="N37" i="16"/>
  <c r="L37" i="16"/>
  <c r="N20" i="16"/>
  <c r="N25" i="16" s="1"/>
  <c r="L1" i="16"/>
  <c r="I1" i="16"/>
  <c r="E1" i="16"/>
  <c r="K54" i="18"/>
  <c r="J54" i="18"/>
  <c r="I54" i="18"/>
  <c r="L29" i="18"/>
  <c r="I29" i="18"/>
  <c r="G29" i="18"/>
  <c r="L20" i="18"/>
  <c r="I20" i="18"/>
  <c r="G20" i="18"/>
  <c r="J10" i="18"/>
  <c r="J9" i="18"/>
  <c r="J8" i="18"/>
  <c r="A6" i="18"/>
  <c r="L58" i="16" s="1"/>
  <c r="P1" i="18"/>
  <c r="L1" i="18"/>
  <c r="E1" i="18"/>
  <c r="H41" i="12"/>
  <c r="E40" i="12"/>
  <c r="D40" i="12"/>
  <c r="F40" i="12" s="1"/>
  <c r="E39" i="12"/>
  <c r="D39" i="12"/>
  <c r="F39" i="12" s="1"/>
  <c r="L38" i="12"/>
  <c r="E38" i="12"/>
  <c r="D38" i="12"/>
  <c r="F38" i="12" s="1"/>
  <c r="L37" i="12"/>
  <c r="D37" i="12"/>
  <c r="F37" i="12" s="1"/>
  <c r="M35" i="12"/>
  <c r="E34" i="12"/>
  <c r="D34" i="12"/>
  <c r="F34" i="12" s="1"/>
  <c r="E33" i="12"/>
  <c r="D33" i="12"/>
  <c r="F33" i="12" s="1"/>
  <c r="E32" i="12"/>
  <c r="D32" i="12"/>
  <c r="F32" i="12" s="1"/>
  <c r="K31" i="12"/>
  <c r="E31" i="12"/>
  <c r="D31" i="12"/>
  <c r="F31" i="12" s="1"/>
  <c r="E30" i="12"/>
  <c r="D30" i="12"/>
  <c r="F30" i="12" s="1"/>
  <c r="K29" i="12"/>
  <c r="J29" i="12"/>
  <c r="L29" i="12" s="1"/>
  <c r="E29" i="12"/>
  <c r="D29" i="12"/>
  <c r="F29" i="12" s="1"/>
  <c r="K28" i="12"/>
  <c r="J28" i="12"/>
  <c r="L28" i="12" s="1"/>
  <c r="E28" i="12"/>
  <c r="D28" i="12"/>
  <c r="F28" i="12" s="1"/>
  <c r="J27" i="12"/>
  <c r="E27" i="12"/>
  <c r="D27" i="12"/>
  <c r="F27" i="12" s="1"/>
  <c r="J26" i="12"/>
  <c r="L26" i="12" s="1"/>
  <c r="E26" i="12"/>
  <c r="D26" i="12"/>
  <c r="F26" i="12" s="1"/>
  <c r="E25" i="12"/>
  <c r="D25" i="12"/>
  <c r="F25" i="12" s="1"/>
  <c r="D23" i="12"/>
  <c r="E20" i="12"/>
  <c r="D20" i="12"/>
  <c r="F20" i="12" s="1"/>
  <c r="L19" i="12"/>
  <c r="E19" i="12"/>
  <c r="D19" i="12"/>
  <c r="F19" i="12" s="1"/>
  <c r="L18" i="12"/>
  <c r="K18" i="12"/>
  <c r="M18" i="12" s="1"/>
  <c r="E18" i="12"/>
  <c r="D18" i="12"/>
  <c r="F18" i="12" s="1"/>
  <c r="L17" i="12"/>
  <c r="K17" i="12"/>
  <c r="M17" i="12" s="1"/>
  <c r="E17" i="12"/>
  <c r="D17" i="12"/>
  <c r="F17" i="12" s="1"/>
  <c r="L16" i="12"/>
  <c r="K16" i="12"/>
  <c r="M16" i="12" s="1"/>
  <c r="E16" i="12"/>
  <c r="D16" i="12"/>
  <c r="F16" i="12" s="1"/>
  <c r="L15" i="12"/>
  <c r="K15" i="12"/>
  <c r="M15" i="12" s="1"/>
  <c r="D15" i="12"/>
  <c r="F15" i="12" s="1"/>
  <c r="L14" i="12"/>
  <c r="K14" i="12"/>
  <c r="M14" i="12" s="1"/>
  <c r="E14" i="12"/>
  <c r="D14" i="12"/>
  <c r="F14" i="12" s="1"/>
  <c r="L13" i="12"/>
  <c r="K13" i="12"/>
  <c r="M13" i="12" s="1"/>
  <c r="D13" i="12"/>
  <c r="L12" i="12"/>
  <c r="K12" i="12"/>
  <c r="D12" i="12"/>
  <c r="F12" i="12" s="1"/>
  <c r="D11" i="12"/>
  <c r="D10" i="12"/>
  <c r="F10" i="12" s="1"/>
  <c r="E9" i="12"/>
  <c r="D9" i="12"/>
  <c r="F9" i="12" s="1"/>
  <c r="E8" i="12"/>
  <c r="D8" i="12"/>
  <c r="F8" i="12" s="1"/>
  <c r="D6" i="12"/>
  <c r="F6" i="12" s="1"/>
  <c r="H3" i="12"/>
  <c r="L1" i="12"/>
  <c r="A1" i="12"/>
  <c r="N43" i="11"/>
  <c r="L43" i="11"/>
  <c r="K43" i="11"/>
  <c r="J43" i="11"/>
  <c r="I43" i="11"/>
  <c r="H43" i="11"/>
  <c r="G43" i="11"/>
  <c r="O42" i="11"/>
  <c r="N42" i="11"/>
  <c r="N39" i="11"/>
  <c r="M39" i="11"/>
  <c r="O39" i="11" s="1"/>
  <c r="L39" i="11"/>
  <c r="K39" i="11"/>
  <c r="J39" i="11"/>
  <c r="I39" i="11"/>
  <c r="H39" i="11"/>
  <c r="G39" i="11"/>
  <c r="F39" i="11"/>
  <c r="F43" i="11" s="1"/>
  <c r="O38" i="11"/>
  <c r="N38" i="11"/>
  <c r="O37" i="11"/>
  <c r="N37" i="11"/>
  <c r="O36" i="11"/>
  <c r="N36" i="11"/>
  <c r="O35" i="11"/>
  <c r="N35" i="11"/>
  <c r="O34" i="11"/>
  <c r="N34" i="11"/>
  <c r="O33" i="11"/>
  <c r="N33" i="11"/>
  <c r="O32" i="11"/>
  <c r="N32" i="11"/>
  <c r="O30" i="11"/>
  <c r="N30" i="11"/>
  <c r="O22" i="11"/>
  <c r="N22" i="11"/>
  <c r="L22" i="11"/>
  <c r="K22" i="11"/>
  <c r="J22" i="11"/>
  <c r="I22" i="11"/>
  <c r="H22" i="11"/>
  <c r="G22" i="11"/>
  <c r="O21" i="11"/>
  <c r="N21" i="11"/>
  <c r="N18" i="11"/>
  <c r="M18" i="11"/>
  <c r="O18" i="11" s="1"/>
  <c r="L18" i="11"/>
  <c r="K18" i="11"/>
  <c r="J18" i="11"/>
  <c r="I18" i="11"/>
  <c r="H18" i="11"/>
  <c r="G18" i="11"/>
  <c r="F18" i="11"/>
  <c r="F22" i="11" s="1"/>
  <c r="O17" i="11"/>
  <c r="N17" i="11"/>
  <c r="O16" i="11"/>
  <c r="N16" i="11"/>
  <c r="O15" i="11"/>
  <c r="N15" i="11"/>
  <c r="O14" i="11"/>
  <c r="N14" i="11"/>
  <c r="O13" i="11"/>
  <c r="N13" i="11"/>
  <c r="O12" i="11"/>
  <c r="N12" i="11"/>
  <c r="O11" i="11"/>
  <c r="N11" i="11"/>
  <c r="O9" i="11"/>
  <c r="N9" i="11"/>
  <c r="N1" i="11"/>
  <c r="J1" i="11"/>
  <c r="D1" i="11"/>
  <c r="L13" i="9"/>
  <c r="I13" i="9"/>
  <c r="H13" i="9"/>
  <c r="G13" i="9"/>
  <c r="F13" i="9"/>
  <c r="K13" i="9" s="1"/>
  <c r="L12" i="9"/>
  <c r="K12" i="9"/>
  <c r="L11" i="9"/>
  <c r="K11" i="9"/>
  <c r="L10" i="9"/>
  <c r="K10" i="9"/>
  <c r="L9" i="9"/>
  <c r="K9" i="9"/>
  <c r="L8" i="9"/>
  <c r="K8" i="9"/>
  <c r="L1" i="9"/>
  <c r="G1" i="9"/>
  <c r="D1" i="9"/>
  <c r="E46" i="3"/>
  <c r="K32" i="12" s="1"/>
  <c r="D46" i="3"/>
  <c r="J32" i="12" s="1"/>
  <c r="E36" i="3"/>
  <c r="D36" i="3"/>
  <c r="J31" i="12" s="1"/>
  <c r="L31" i="12" s="1"/>
  <c r="N25" i="3"/>
  <c r="L45" i="2" s="1"/>
  <c r="K27" i="12" s="1"/>
  <c r="M25" i="3"/>
  <c r="E22" i="3"/>
  <c r="E37" i="3" s="1"/>
  <c r="L48" i="2" s="1"/>
  <c r="D22" i="3"/>
  <c r="N12" i="3"/>
  <c r="M12" i="3"/>
  <c r="N1" i="3"/>
  <c r="I1" i="3"/>
  <c r="C1" i="3"/>
  <c r="I49" i="2"/>
  <c r="M48" i="2"/>
  <c r="M47" i="2"/>
  <c r="L47" i="2"/>
  <c r="J47" i="2"/>
  <c r="I47" i="2"/>
  <c r="H47" i="2"/>
  <c r="G47" i="2"/>
  <c r="F47" i="2"/>
  <c r="M46" i="2"/>
  <c r="L46" i="2"/>
  <c r="J46" i="2"/>
  <c r="I46" i="2"/>
  <c r="H46" i="2"/>
  <c r="G46" i="2"/>
  <c r="F46" i="2"/>
  <c r="M44" i="2"/>
  <c r="I44" i="2"/>
  <c r="H44" i="2"/>
  <c r="G44" i="2"/>
  <c r="I43" i="2"/>
  <c r="M42" i="2"/>
  <c r="L42" i="2"/>
  <c r="M41" i="2"/>
  <c r="L41" i="2"/>
  <c r="M40" i="2"/>
  <c r="L40" i="2"/>
  <c r="M39" i="2"/>
  <c r="L39" i="2"/>
  <c r="E37" i="12" s="1"/>
  <c r="K37" i="2"/>
  <c r="M37" i="2" s="1"/>
  <c r="J37" i="2"/>
  <c r="I37" i="2"/>
  <c r="H37" i="2"/>
  <c r="G37" i="2"/>
  <c r="F37" i="2"/>
  <c r="M36" i="2"/>
  <c r="L36" i="2"/>
  <c r="M35" i="2"/>
  <c r="L35" i="2"/>
  <c r="M34" i="2"/>
  <c r="L34" i="2"/>
  <c r="M33" i="2"/>
  <c r="L33" i="2"/>
  <c r="M32" i="2"/>
  <c r="L32" i="2"/>
  <c r="M31" i="2"/>
  <c r="L31" i="2"/>
  <c r="M30" i="2"/>
  <c r="L30" i="2"/>
  <c r="M29" i="2"/>
  <c r="L29" i="2"/>
  <c r="M28" i="2"/>
  <c r="L28" i="2"/>
  <c r="M27" i="2"/>
  <c r="L27" i="2"/>
  <c r="M25" i="2"/>
  <c r="L25" i="2"/>
  <c r="E23" i="12" s="1"/>
  <c r="E35" i="12" s="1"/>
  <c r="K23" i="2"/>
  <c r="J23" i="2"/>
  <c r="J43" i="2" s="1"/>
  <c r="J49" i="2" s="1" a="1"/>
  <c r="J49" i="2" s="1"/>
  <c r="I23" i="2"/>
  <c r="H23" i="2"/>
  <c r="H43" i="2" s="1"/>
  <c r="H49" i="2" s="1"/>
  <c r="G23" i="2"/>
  <c r="F23" i="2"/>
  <c r="M22" i="2"/>
  <c r="L22" i="2"/>
  <c r="M21" i="2"/>
  <c r="L21" i="2"/>
  <c r="M20" i="2"/>
  <c r="L20" i="2"/>
  <c r="M19" i="2"/>
  <c r="L19" i="2"/>
  <c r="M18" i="2"/>
  <c r="L18" i="2"/>
  <c r="M17" i="2"/>
  <c r="L17" i="2"/>
  <c r="E15" i="12" s="1"/>
  <c r="M16" i="2"/>
  <c r="L16" i="2"/>
  <c r="L15" i="2"/>
  <c r="E13" i="12" s="1"/>
  <c r="M14" i="2"/>
  <c r="L14" i="2"/>
  <c r="E12" i="12" s="1"/>
  <c r="L13" i="2"/>
  <c r="E11" i="12" s="1"/>
  <c r="M12" i="2"/>
  <c r="L12" i="2"/>
  <c r="E10" i="12" s="1"/>
  <c r="M11" i="2"/>
  <c r="L11" i="2"/>
  <c r="M10" i="2"/>
  <c r="L10" i="2"/>
  <c r="M8" i="2"/>
  <c r="L8" i="2"/>
  <c r="E6" i="12" s="1"/>
  <c r="M1" i="2"/>
  <c r="I1" i="2"/>
  <c r="D1" i="2"/>
  <c r="H1" i="14"/>
  <c r="F1" i="14"/>
  <c r="B1" i="14"/>
  <c r="R34" i="1"/>
  <c r="L39" i="12" s="1"/>
  <c r="S32" i="1"/>
  <c r="L30" i="1"/>
  <c r="L25" i="1"/>
  <c r="I22" i="1"/>
  <c r="I21" i="1"/>
  <c r="I20" i="1"/>
  <c r="R13" i="1"/>
  <c r="L5" i="1"/>
  <c r="L4" i="1"/>
  <c r="F44" i="2" l="1"/>
  <c r="L44" i="2" s="1"/>
  <c r="K26" i="12" s="1"/>
  <c r="L27" i="12"/>
  <c r="M45" i="2"/>
  <c r="F13" i="12"/>
  <c r="M15" i="2"/>
  <c r="F11" i="12"/>
  <c r="M13" i="2"/>
  <c r="L23" i="2"/>
  <c r="M23" i="2" s="1"/>
  <c r="G43" i="2"/>
  <c r="G49" i="2" s="1"/>
  <c r="E21" i="12"/>
  <c r="E41" i="12" s="1"/>
  <c r="F43" i="2"/>
  <c r="L37" i="2"/>
  <c r="P12" i="3" s="1"/>
  <c r="M12" i="12"/>
  <c r="L32" i="12"/>
  <c r="K30" i="12"/>
  <c r="C44" i="21"/>
  <c r="F34" i="21"/>
  <c r="H35" i="21"/>
  <c r="B32" i="21"/>
  <c r="D33" i="21" s="1"/>
  <c r="N21" i="16"/>
  <c r="N23" i="16"/>
  <c r="B11" i="21"/>
  <c r="D12" i="21" s="1"/>
  <c r="N12" i="16"/>
  <c r="N58" i="16"/>
  <c r="R35" i="1"/>
  <c r="L40" i="12" s="1"/>
  <c r="M43" i="11"/>
  <c r="O43" i="11" s="1"/>
  <c r="D37" i="3"/>
  <c r="J30" i="12"/>
  <c r="D21" i="12"/>
  <c r="K43" i="2"/>
  <c r="K49" i="2" s="1"/>
  <c r="D35" i="12"/>
  <c r="F35" i="12" s="1"/>
  <c r="F23" i="12"/>
  <c r="K19" i="12"/>
  <c r="M19" i="12" s="1"/>
  <c r="L20" i="16"/>
  <c r="L23" i="16" s="1"/>
  <c r="L12" i="16"/>
  <c r="E66" i="21"/>
  <c r="E68" i="21" s="1"/>
  <c r="H73" i="21" s="1"/>
  <c r="C77" i="21" s="1"/>
  <c r="F49" i="2" l="1"/>
  <c r="F21" i="12"/>
  <c r="L43" i="2"/>
  <c r="K25" i="12" s="1"/>
  <c r="K33" i="12" s="1"/>
  <c r="L30" i="12"/>
  <c r="N13" i="16"/>
  <c r="N15" i="16" s="1"/>
  <c r="N17" i="16" s="1"/>
  <c r="N57" i="16" s="1"/>
  <c r="L21" i="16"/>
  <c r="D41" i="12"/>
  <c r="F41" i="12" s="1"/>
  <c r="J25" i="12"/>
  <c r="J33" i="12" s="1"/>
  <c r="H69" i="21"/>
  <c r="L25" i="16"/>
  <c r="L13" i="16"/>
  <c r="L15" i="16" s="1"/>
  <c r="L17" i="16" s="1"/>
  <c r="L57" i="16" s="1"/>
  <c r="M43" i="2" l="1"/>
  <c r="L49" i="2"/>
  <c r="M49" i="2" s="1"/>
  <c r="L33" i="12"/>
  <c r="N59" i="16"/>
  <c r="E10" i="21"/>
  <c r="L59" i="16"/>
  <c r="E9" i="21"/>
  <c r="L25" i="12"/>
  <c r="F10" i="21" l="1"/>
  <c r="H10" i="21"/>
  <c r="G10" i="21"/>
  <c r="F13" i="21"/>
  <c r="G43" i="21"/>
  <c r="G13" i="21"/>
  <c r="H51" i="21"/>
  <c r="C58" i="21" s="1"/>
  <c r="H58" i="21" s="1"/>
  <c r="C76" i="21" s="1"/>
  <c r="C78" i="21" s="1"/>
  <c r="H79" i="21" s="1"/>
  <c r="H82" i="21" s="1"/>
  <c r="H14" i="21"/>
  <c r="G9" i="21"/>
  <c r="F9" i="21"/>
  <c r="C43" i="21"/>
  <c r="H9" i="21"/>
  <c r="C47" i="21"/>
  <c r="E45" i="21"/>
  <c r="G45" i="21"/>
  <c r="H13" i="21"/>
  <c r="G47" i="21"/>
  <c r="E47" i="21"/>
  <c r="H49" i="21"/>
  <c r="C51" i="21" s="1"/>
  <c r="C45" i="21"/>
  <c r="E4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<sst xmlns="http://schemas.openxmlformats.org/spreadsheetml/2006/main" count="1003" uniqueCount="594">
  <si>
    <t>Charter school</t>
  </si>
  <si>
    <t>County</t>
  </si>
  <si>
    <t>CTDS number</t>
  </si>
  <si>
    <t>Charter name</t>
  </si>
  <si>
    <t>d.b.a. (as applicable)</t>
  </si>
  <si>
    <t>FY 2025</t>
  </si>
  <si>
    <t>1.</t>
  </si>
  <si>
    <r>
      <t>Total budgeted revenues for fiscal year 202</t>
    </r>
    <r>
      <rPr>
        <sz val="10"/>
        <rFont val="Arial"/>
        <family val="2"/>
      </rPr>
      <t>4</t>
    </r>
  </si>
  <si>
    <t>$</t>
  </si>
  <si>
    <t>State of Arizona</t>
  </si>
  <si>
    <t>2.</t>
  </si>
  <si>
    <t>Estimated revenues by source for fiscal year 2025</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</si>
  <si>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</si>
  <si>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</si>
  <si>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</si>
  <si>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</si>
  <si>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</si>
  <si>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</si>
  <si>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</si>
  <si>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</si>
  <si>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</si>
  <si>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</si>
  <si>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</si>
  <si>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</si>
  <si>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</si>
  <si>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</si>
  <si>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</si>
  <si>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t>The FY 202</t>
    </r>
    <r>
      <rPr>
        <sz val="10"/>
        <rFont val="Arial"/>
        <family val="2"/>
      </rPr>
      <t>5 budget file for the version described at left will be uploaded through the</t>
    </r>
  </si>
  <si>
    <r>
      <t>We hereby certify that the budget for the school year 202</t>
    </r>
    <r>
      <rPr>
        <sz val="10"/>
        <rFont val="Arial"/>
        <family val="2"/>
      </rPr>
      <t>5 was</t>
    </r>
  </si>
  <si>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</si>
  <si>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</si>
  <si>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</si>
  <si>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</si>
  <si>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</si>
  <si>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</si>
  <si>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</si>
  <si>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</si>
  <si>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</si>
  <si>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</si>
  <si>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r>
      <t>Check box if the school is new and will begin operations in FY 202</t>
    </r>
    <r>
      <rPr>
        <sz val="10"/>
        <rFont val="Arial"/>
        <family val="2"/>
      </rPr>
      <t>5.</t>
    </r>
  </si>
  <si>
    <r>
      <t>1. Average salary of all teachers employed in budget year 202</t>
    </r>
    <r>
      <rPr>
        <sz val="10"/>
        <rFont val="Arial"/>
        <family val="2"/>
      </rPr>
      <t>5</t>
    </r>
  </si>
  <si>
    <r>
      <t>2. Average salary of all teachers employed in prior year 202</t>
    </r>
    <r>
      <rPr>
        <sz val="10"/>
        <rFont val="Arial"/>
        <family val="2"/>
      </rPr>
      <t>4</t>
    </r>
  </si>
  <si>
    <r>
      <t>3. Increase in average teacher salary from the prior year 202</t>
    </r>
    <r>
      <rPr>
        <sz val="10"/>
        <rFont val="Arial"/>
        <family val="2"/>
      </rPr>
      <t>4</t>
    </r>
  </si>
  <si>
    <t xml:space="preserve">4. Percentage increase </t>
  </si>
  <si>
    <t>Comments on average salary calculation (optional):</t>
  </si>
  <si>
    <t>Signed</t>
  </si>
  <si>
    <t>Title</t>
  </si>
  <si>
    <t xml:space="preserve">  County</t>
  </si>
  <si>
    <t>Charter contact information</t>
  </si>
  <si>
    <t>Dr.</t>
  </si>
  <si>
    <t>Prefix</t>
  </si>
  <si>
    <t>First name</t>
  </si>
  <si>
    <t>Last name</t>
  </si>
  <si>
    <t>Email address</t>
  </si>
  <si>
    <t>Telephone number</t>
  </si>
  <si>
    <t>Extension</t>
  </si>
  <si>
    <t>Mr.</t>
  </si>
  <si>
    <t>Charter Representative</t>
  </si>
  <si>
    <t>Miss</t>
  </si>
  <si>
    <t>Ms.</t>
  </si>
  <si>
    <t>Executive Assistant to Charter Representative</t>
  </si>
  <si>
    <t>Mrs.</t>
  </si>
  <si>
    <t>Business Manager</t>
  </si>
  <si>
    <t>Business Consultant</t>
  </si>
  <si>
    <t>Yes</t>
  </si>
  <si>
    <t>AzEDS/ADM Data Coordinator</t>
  </si>
  <si>
    <t>No</t>
  </si>
  <si>
    <t>SPED Data Coordinator</t>
  </si>
  <si>
    <t>Poverty Coordinator</t>
  </si>
  <si>
    <t>Assessments Coordinator</t>
  </si>
  <si>
    <t>Curriculum Coordinator</t>
  </si>
  <si>
    <t>Information Technology (IT) Director</t>
  </si>
  <si>
    <t>Governing Board Member</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</si>
  <si>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</si>
  <si>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</si>
  <si>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</si>
  <si>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</si>
  <si>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</si>
  <si>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</si>
  <si>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</si>
  <si>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</si>
  <si>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</si>
  <si>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</si>
  <si>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</si>
  <si>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</si>
  <si>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</si>
  <si>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</si>
  <si>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Pearson (Connexus)</t>
  </si>
  <si>
    <t>PowerSchool (PowerSchool)</t>
  </si>
  <si>
    <t>Charter management information</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</si>
  <si>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</si>
  <si>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</si>
  <si>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</si>
  <si>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</si>
  <si>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</si>
  <si>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</si>
  <si>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</si>
  <si>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</si>
  <si>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</si>
  <si>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</si>
  <si>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</si>
  <si>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</si>
  <si>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</si>
  <si>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</si>
  <si>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</si>
  <si>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</si>
  <si>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</si>
  <si>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</si>
  <si>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</si>
  <si>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</si>
  <si>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</si>
  <si>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</si>
  <si>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</si>
  <si>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</si>
  <si>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</si>
  <si>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</si>
  <si>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</si>
  <si>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</si>
  <si>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</si>
  <si>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</si>
  <si>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</si>
  <si>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</si>
  <si>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</si>
  <si>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</si>
  <si>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</si>
  <si>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</si>
  <si>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</si>
  <si>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</si>
  <si>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</si>
  <si>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</si>
  <si>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</si>
  <si>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</si>
  <si>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</si>
  <si>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</si>
  <si>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</si>
  <si>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</si>
  <si>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</si>
  <si>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</si>
  <si>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</si>
  <si>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</si>
  <si>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</si>
  <si>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</si>
  <si>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</si>
  <si>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</si>
  <si>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</si>
  <si>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</si>
  <si>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</si>
  <si>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</si>
  <si>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</si>
  <si>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</si>
  <si>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</si>
  <si>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Prior year 202</t>
    </r>
    <r>
      <rPr>
        <sz val="10"/>
        <rFont val="Arial"/>
        <family val="2"/>
      </rPr>
      <t>4</t>
    </r>
  </si>
  <si>
    <r>
      <t>Budget year 202</t>
    </r>
    <r>
      <rPr>
        <sz val="10"/>
        <rFont val="Arial"/>
        <family val="2"/>
      </rPr>
      <t>5</t>
    </r>
  </si>
  <si>
    <r>
      <t>Program 200 prior year 202</t>
    </r>
    <r>
      <rPr>
        <sz val="10"/>
        <rFont val="Arial"/>
        <family val="2"/>
      </rPr>
      <t>4</t>
    </r>
  </si>
  <si>
    <r>
      <t>Program 200 budget year 202</t>
    </r>
    <r>
      <rPr>
        <sz val="10"/>
        <rFont val="Arial"/>
        <family val="2"/>
      </rPr>
      <t>5</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</si>
  <si>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</si>
  <si>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</si>
  <si>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</si>
  <si>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</si>
  <si>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</si>
  <si>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</si>
  <si>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</si>
  <si>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</si>
  <si>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</si>
  <si>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</si>
  <si>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</si>
  <si>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</si>
  <si>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</si>
  <si>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</si>
  <si>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</si>
  <si>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</si>
  <si>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</si>
  <si>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</si>
  <si>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</si>
  <si>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</si>
  <si>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</si>
  <si>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</si>
  <si>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</si>
  <si>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</si>
  <si>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</si>
  <si>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</si>
  <si>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Prior year  202</t>
    </r>
    <r>
      <rPr>
        <sz val="10"/>
        <rFont val="Arial"/>
        <family val="2"/>
      </rPr>
      <t>4</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</si>
  <si>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</si>
  <si>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</si>
  <si>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</si>
  <si>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</si>
  <si>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</si>
  <si>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</si>
  <si>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</si>
  <si>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</si>
  <si>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</si>
  <si>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</si>
  <si>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</si>
  <si>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</si>
  <si>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</si>
  <si>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</si>
  <si>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</si>
  <si>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</si>
  <si>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</si>
  <si>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</si>
  <si>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</si>
  <si>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</si>
  <si>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</si>
  <si>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</si>
  <si>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</si>
  <si>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</si>
  <si>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</si>
  <si>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</si>
  <si>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</si>
  <si>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</si>
  <si>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</si>
  <si>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</si>
  <si>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</si>
  <si>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</si>
  <si>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</si>
  <si>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</si>
  <si>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</si>
  <si>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</si>
  <si>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</si>
  <si>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</si>
  <si>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</si>
  <si>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</si>
  <si>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</si>
  <si>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</si>
  <si>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Prior year
202</t>
    </r>
    <r>
      <rPr>
        <sz val="10"/>
        <rFont val="Arial"/>
        <family val="2"/>
      </rPr>
      <t>4</t>
    </r>
  </si>
  <si>
    <r>
      <t>Budget year
202</t>
    </r>
    <r>
      <rPr>
        <sz val="10"/>
        <rFont val="Arial"/>
        <family val="2"/>
      </rPr>
      <t>5</t>
    </r>
  </si>
  <si>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</si>
  <si>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</si>
  <si>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</si>
  <si>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</si>
  <si>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</si>
  <si>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</si>
  <si>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</si>
  <si>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</si>
  <si>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</si>
  <si>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</si>
  <si>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</si>
  <si>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</si>
  <si>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</si>
  <si>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</si>
  <si>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</si>
  <si>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</si>
  <si>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</si>
  <si>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</si>
  <si>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</si>
  <si>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</si>
  <si>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</si>
  <si>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</si>
  <si>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</si>
  <si>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</si>
  <si>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</si>
  <si>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</si>
  <si>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</si>
  <si>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</si>
  <si>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</si>
  <si>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</si>
  <si>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</si>
  <si>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</si>
  <si>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</si>
  <si>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</si>
  <si>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</si>
  <si>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</si>
  <si>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</si>
  <si>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</si>
  <si>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</si>
  <si>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</si>
  <si>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</si>
  <si>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</si>
  <si>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</si>
  <si>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</si>
  <si>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</si>
  <si>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</si>
  <si>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</si>
  <si>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</si>
  <si>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</si>
  <si>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</si>
  <si>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</si>
  <si>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</si>
  <si>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</si>
  <si>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</si>
  <si>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</si>
  <si>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</si>
  <si>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</si>
  <si>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</si>
  <si>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</si>
  <si>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</si>
  <si>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</si>
  <si>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</si>
  <si>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</si>
  <si>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</si>
  <si>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</si>
  <si>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</si>
  <si>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Average salary of all teachers employed in the budget year 202</t>
    </r>
    <r>
      <rPr>
        <sz val="10"/>
        <rFont val="Arial"/>
        <family val="2"/>
      </rPr>
      <t>5</t>
    </r>
  </si>
  <si>
    <r>
      <t>Average salary of all teachers employed in the prior year 202</t>
    </r>
    <r>
      <rPr>
        <sz val="10"/>
        <rFont val="Arial"/>
        <family val="2"/>
      </rPr>
      <t>4</t>
    </r>
  </si>
  <si>
    <t>540 Joint career &amp; tech. ed. &amp; voc. ed. center</t>
  </si>
  <si>
    <r>
      <t>Increase in average teacher salary from the prior year 202</t>
    </r>
    <r>
      <rPr>
        <sz val="10"/>
        <rFont val="Arial"/>
        <family val="2"/>
      </rPr>
      <t>4</t>
    </r>
  </si>
  <si>
    <t>Percentage increase</t>
  </si>
  <si>
    <t>This tab presents information on the amount and planned use of the Charter's project balances to increase transparency and provide decision-makers, other stakeholders, and the public more complete financial information. Other than the FY 2023 ending project balance amounts, all amounts included on this tab are estimates.</t>
  </si>
  <si>
    <t>Estimated FY 2024 project balances and planned uses in FY 2025 and thereafter</t>
  </si>
  <si>
    <t>x</t>
  </si>
  <si>
    <t>FY 2023 final ending project balance</t>
  </si>
  <si>
    <t>If the final ending project balance does not agree with the submitted FY 2023 AFR, revise the AFR and resubmit to ADE</t>
  </si>
  <si>
    <t xml:space="preserve">FY 2024 activity, year-to-date and estimated through June 30 </t>
  </si>
  <si>
    <t>(a) FY 2024 revenues</t>
  </si>
  <si>
    <t>(b) FY 2024 expenses, indirect costs, reversions, capital acquisitions, and redemption of principal</t>
  </si>
  <si>
    <t>Estimated FY 2024 ending project balance</t>
  </si>
  <si>
    <t>(c) Total (must agree to line 3 above)</t>
  </si>
  <si>
    <t>Estimated FY 2024 ending project balance and planned uses</t>
  </si>
  <si>
    <t>(a) Deficit balance</t>
  </si>
  <si>
    <t xml:space="preserve">(b) Planned to be spent in FY 2025 </t>
  </si>
  <si>
    <t>(c) Planned to be spent in FY 2025 to support operations of other school sites within the same charter management organization</t>
  </si>
  <si>
    <t>(d) Maintained for spending after FY 2025</t>
  </si>
  <si>
    <t>(f) Total project balance (should agree to amount on line 3)</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</si>
  <si>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</si>
  <si>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</si>
  <si>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</si>
  <si>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</si>
  <si>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</si>
  <si>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</si>
  <si>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</si>
  <si>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</si>
  <si>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</si>
  <si>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</si>
  <si>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5 ADM20 should be used, available via ADE Connect, AzEDS Portal. Schools approved to provide at least 200 days of instruction will adjust their FY 2026 budget for discrepancies between the FY 2025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</si>
  <si>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</si>
  <si>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</si>
  <si>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</si>
  <si>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</si>
  <si>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</si>
  <si>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</si>
  <si>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</si>
  <si>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</si>
  <si>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</si>
  <si>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</si>
  <si>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</si>
  <si>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</si>
  <si>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</si>
  <si>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</si>
  <si>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</si>
  <si>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</si>
  <si>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</si>
  <si>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</si>
  <si>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</si>
  <si>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</si>
  <si>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</si>
  <si>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</si>
  <si>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</si>
  <si>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</si>
  <si>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</si>
  <si>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</si>
  <si>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</si>
  <si>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</si>
  <si>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</si>
  <si>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</si>
  <si>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</si>
  <si>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</si>
  <si>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t>Free and Reduced-Price Lunch (FRPL)    (5)</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</si>
  <si>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</si>
  <si>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</si>
  <si>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</si>
  <si>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</si>
  <si>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</si>
  <si>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</si>
  <si>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</si>
  <si>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</si>
  <si>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</si>
  <si>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Schools may use ADE's FRPL20-summary ADM report and/or FRPL30-site summary ADM report in AzEDS to estimate FY 2025 eligible student counts. This weight applies to all students in schools with community eligibility.</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</si>
  <si>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</si>
  <si>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</si>
  <si>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</si>
  <si>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</si>
  <si>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</si>
  <si>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FY 202</t>
    </r>
    <r>
      <rPr>
        <sz val="10"/>
        <rFont val="Arial"/>
        <family val="2"/>
      </rPr>
      <t>3 nonfederal audit service actual expense</t>
    </r>
  </si>
  <si>
    <r>
      <t>Schools must include audit costs for FY 202</t>
    </r>
    <r>
      <rPr>
        <sz val="10"/>
        <rFont val="Arial"/>
        <family val="2"/>
      </rPr>
      <t>5 under "Selected expenses by type" on Budget page 2 to receive this increase. Enter the amount expended for audit services in FY 2023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</si>
  <si>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3 federal audit service actual expense</t>
    </r>
  </si>
  <si>
    <r>
      <t>Enter the amount expended for audit services in FY 202</t>
    </r>
    <r>
      <rPr>
        <sz val="10"/>
        <rFont val="Arial"/>
        <family val="2"/>
      </rPr>
      <t>3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</si>
  <si>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</si>
  <si>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</si>
  <si>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</si>
  <si>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</si>
  <si>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</si>
  <si>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</si>
  <si>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</si>
  <si>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</si>
  <si>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</si>
  <si>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</si>
  <si>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</si>
  <si>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</si>
  <si>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</si>
  <si>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</si>
  <si>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</si>
  <si>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</si>
  <si>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</si>
  <si>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</si>
  <si>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</si>
  <si>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</si>
  <si>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</si>
  <si>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</si>
  <si>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</si>
  <si>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</si>
  <si>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</si>
  <si>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</si>
  <si>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</si>
  <si>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</si>
  <si>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</si>
  <si>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</si>
  <si>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</si>
  <si>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</si>
  <si>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</si>
  <si>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</si>
  <si>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</si>
  <si>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</si>
  <si>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</si>
  <si>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</si>
  <si>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</si>
  <si>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</si>
  <si>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</si>
  <si>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</si>
  <si>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</si>
  <si>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</si>
  <si>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</si>
  <si>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</si>
  <si>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</si>
  <si>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</si>
  <si>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</si>
  <si>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</si>
  <si>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</si>
  <si>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</si>
  <si>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</si>
  <si>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</si>
  <si>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</si>
  <si>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</si>
  <si>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</si>
  <si>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</si>
  <si>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</si>
  <si>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</si>
  <si>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</si>
  <si>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</si>
  <si>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</si>
  <si>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</si>
  <si>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</si>
  <si>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</si>
  <si>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</si>
  <si>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</si>
  <si>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</si>
  <si>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</si>
  <si>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</si>
  <si>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</si>
  <si>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</si>
  <si>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</si>
  <si>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</si>
  <si>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</si>
  <si>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</si>
  <si>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</si>
  <si>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</si>
  <si>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</si>
  <si>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</si>
  <si>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</si>
  <si>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</si>
  <si>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</si>
  <si>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</si>
  <si>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</si>
  <si>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</si>
  <si>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</si>
  <si>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</si>
  <si>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</si>
  <si>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</si>
  <si>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</si>
  <si>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</si>
  <si>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</si>
  <si>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</si>
  <si>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</si>
  <si>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</si>
  <si>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</si>
  <si>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</si>
  <si>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</si>
  <si>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</si>
  <si>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</si>
  <si>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</si>
  <si>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</si>
  <si>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2024 budget forms. However, the cells have not been protected so users may also enter the information manually. To bring forward amounts automatically, the most recently revised FY 2024 budget must be saved as budget24.xlsx in the C:\CSFORMS folder. If the file is not named budget24.xlsx, the formulas will not function properly. Excel will ask the user to update information when the budget25.xlsx file is opened. Users should review amounts reported in the prior year column to ensure they agree to the school’s most recently revised FY 2024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</si>
  <si>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</si>
  <si>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</si>
  <si>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</si>
  <si>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Base estimated revenues by source for FY 2025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</si>
  <si>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</si>
  <si>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</si>
  <si>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</si>
  <si>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Charter management info</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</si>
  <si>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t>
    </r>
  </si>
  <si>
    <t xml:space="preserve">ADE-required information. Please contact ADE's School Finance Budget Team with questions about completing this section.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</si>
  <si>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</si>
  <si>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</si>
  <si>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</si>
  <si>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</si>
  <si>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</si>
  <si>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</si>
  <si>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Schools participating in the Arizona State Retirement System should budget at the rate of 12.2</t>
    </r>
    <r>
      <rPr>
        <sz val="10"/>
        <rFont val="Arial"/>
        <family val="2"/>
      </rPr>
      <t>7 percent for covered positions. For positions subject to the Alternate Contribution Rate, schools should budget at the rate of 10.19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</si>
  <si>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</si>
  <si>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</si>
  <si>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</si>
  <si>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</si>
  <si>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</si>
  <si>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</si>
  <si>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</si>
  <si>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</si>
  <si>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</si>
  <si>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</si>
  <si>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</si>
  <si>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</si>
  <si>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</si>
  <si>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</si>
  <si>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2025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</si>
  <si>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</si>
  <si>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</si>
  <si>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</si>
  <si>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</si>
  <si>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t>Schools receive revenues from the Classroom Site Project (CSP) each year. A.R.S. §15-977(G)(1) requires the Joint Legislative Budget Committee to calculate an estimated per pupil amount each year. For FY 2025, the estimated cash payment is $792 per “Group A weighted” pupil (BSA55 Tab, Total of Non-AOI weighted student count, AOI full-time weighted student count, and AOI part-time weighted student count on row 13). The FY 2025 CSP YTD Payments Reports will be available on ADE’s website beginning in August 2024 at https://schoolfinancereports.azed.gov/. ADE uses schools' FY2025 100th day student count as reported in the schools's FY 2025 ADM20A and ADM30 reports.</t>
    </r>
    <r>
      <rPr>
        <strike/>
        <sz val="10"/>
        <rFont val="Arial"/>
        <family val="2"/>
      </rPr>
      <t xml:space="preserve">
</t>
    </r>
  </si>
  <si>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</si>
  <si>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</si>
  <si>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</si>
  <si>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</si>
  <si>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</si>
  <si>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</si>
  <si>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</si>
  <si>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</si>
  <si>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</si>
  <si>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</si>
  <si>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</si>
  <si>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</si>
  <si>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</si>
  <si>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</si>
  <si>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</si>
  <si>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</si>
  <si>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</si>
  <si>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</si>
  <si>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</si>
  <si>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</si>
  <si>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r>
      <t xml:space="preserve">Report FY 2023 final ending project balances as reported in FY 2023 AFR. If the final ending reserve balance doesn't agree with the FY 2023 AFR, </t>
    </r>
    <r>
      <rPr>
        <u/>
        <sz val="10"/>
        <color theme="1"/>
        <rFont val="Arial"/>
        <family val="2"/>
      </rPr>
      <t>revise the AFR and resubmit to ADE.</t>
    </r>
  </si>
  <si>
    <t>For budget adoption, charters may use the prior year unweighted gifted ADM to estimate the budget year gifted weight. ADE will provide budget year unweighted gifted ADM to charters for budget revisions. See ADE's School Finance Hot Topic for additional information on educational programs for gifted students at https://www.azed.gov/finance/fy-2024-gifted-add-payment</t>
  </si>
  <si>
    <t>All projects</t>
  </si>
  <si>
    <t>(a) With donor restrictions/Restricted</t>
  </si>
  <si>
    <t>(b) Without donor restrictions/Unrestricted</t>
  </si>
  <si>
    <t>Project balances</t>
  </si>
  <si>
    <t xml:space="preserve">Report FY 2024 revenues. Enter actual amounts to date plus estimated amounts for the remainder of FY 2024, including all FY 2024 amounts that the charter anticipates receiving during the encumbrance period. </t>
  </si>
  <si>
    <t>Report FY 2024 expenses, indirect costs, reversions, capital acquisitions, and redemption of principal in all projects. Enter actual amounts to date plus estimated amounts for the remainder of FY 2024, including all FY 2024 amounts that the charter anticipates spending during the encumbrance period.</t>
  </si>
  <si>
    <t xml:space="preserve">For projects with a negative estimated FY 2024 ending project balance, enter the negative project balance amount on this line. These projects have deficit balances because expenses exceeded available resources from current revenues and prior year project balances and reduce the amount of resources available in future years. </t>
  </si>
  <si>
    <t xml:space="preserve">Report FY 2024 estimated ending project balance amounts that the Charter plans to spend to support FY 2025 budgeted spending after using all available FY 2025 revenues. Any nonspendable amounts included in ending project balance such as current prepaid assets should be included in this line if the charter plans to use them in FY 2025. Otherwise, such nonspendable assets should be included on line 4(d) based on the charter's plan to use them to benefit a future year, as applicable. </t>
  </si>
  <si>
    <t>Report amounts the charter estimates it will maintain for spending after FY 2025, including amounts reserved to manage cash flows in future budget years to cover such things as revenue shortfalls, emergencies, and/or other unforeseen circumstances.</t>
  </si>
  <si>
    <r>
      <t xml:space="preserve">Report FY 2024 estimated restricted ending project balance amounts. These amounts consist of </t>
    </r>
    <r>
      <rPr>
        <sz val="10"/>
        <rFont val="Arial"/>
        <family val="2"/>
      </rPr>
      <t xml:space="preserve">donor-restricted or legally obligated resources. </t>
    </r>
    <r>
      <rPr>
        <sz val="10"/>
        <color theme="1"/>
        <rFont val="Arial"/>
        <family val="2"/>
      </rPr>
      <t>For-profit charter schools may report estimated appropriated retained earnings.</t>
    </r>
  </si>
  <si>
    <r>
      <t xml:space="preserve">Report FY 2024 estimated unrestricted ending project balance amounts.  </t>
    </r>
    <r>
      <rPr>
        <sz val="10"/>
        <rFont val="Arial"/>
        <family val="2"/>
      </rPr>
      <t xml:space="preserve">These are amounts available for use in general operations and not subject to donor or grantor restrictions or legal obligations. </t>
    </r>
    <r>
      <rPr>
        <sz val="10"/>
        <color theme="1"/>
        <rFont val="Arial"/>
        <family val="2"/>
      </rPr>
      <t>For-profit charter schools may report estimated unappropriated retained earnings.</t>
    </r>
  </si>
  <si>
    <r>
      <t xml:space="preserve">Report FY 2024 estimated ending project balance amounts that the charter plans to spend in FY 2025 to support the operation of other school sites that operate within the same charter management organization (CMO). </t>
    </r>
    <r>
      <rPr>
        <u/>
        <sz val="10"/>
        <color theme="1"/>
        <rFont val="Arial"/>
        <family val="2"/>
      </rPr>
      <t xml:space="preserve">This line only applies to charter schools that operate under the same CMO. </t>
    </r>
    <r>
      <rPr>
        <sz val="10"/>
        <color theme="1"/>
        <rFont val="Arial"/>
        <family val="2"/>
      </rPr>
      <t xml:space="preserve"> CMO detail is reported on the contact page in this form.</t>
    </r>
  </si>
  <si>
    <t>Added Project balances tab.</t>
  </si>
  <si>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by ADE and its sponsor. Schools must receive approval from ADE for FY 2025 prior to June 1, 2024. Please contact ADE's School Finance account analyst team by email with questions about this provision at SFAnalystTeam@azed.gov.</t>
    </r>
  </si>
  <si>
    <t>1010 Classroom Site Project (from page 3, line 6) and object code 6850</t>
  </si>
  <si>
    <r>
      <t>Debt service amounts should include budgeted interest and redemption of principal for all programs. Interest should be budgeted expenses for object code 6850. Redemption of principal should include budgeted principal payments on</t>
    </r>
    <r>
      <rPr>
        <sz val="10"/>
        <rFont val="Arial"/>
        <family val="2"/>
      </rPr>
      <t xml:space="preserve"> finance leases and other long-term debt that will be recorded as a reduction of the related liability.</t>
    </r>
  </si>
  <si>
    <r>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t>
    </r>
    <r>
      <rPr>
        <sz val="10"/>
        <rFont val="Arial"/>
        <family val="2"/>
      </rPr>
      <t xml:space="preserve">on finance leases and other long-term debt that will be recorded as a reduction of the related liability. </t>
    </r>
  </si>
  <si>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t>
    </r>
    <r>
      <rPr>
        <sz val="10"/>
        <rFont val="Arial"/>
        <family val="2"/>
      </rPr>
      <t xml:space="preserve">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r>
  </si>
  <si>
    <r>
      <t xml:space="preserve">Enter the increase in the capital asset accounts (intangible assets, land and land improvements, site improvements, buildings and building improvements, equipment, and construction in progress) for assets to be acquired by purchase, </t>
    </r>
    <r>
      <rPr>
        <sz val="10"/>
        <rFont val="Arial"/>
        <family val="2"/>
      </rPr>
      <t xml:space="preserve">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r>
  </si>
  <si>
    <t>Jesus Perez</t>
  </si>
  <si>
    <t>kovarjr@mindspring.com</t>
  </si>
  <si>
    <t>President</t>
  </si>
  <si>
    <t>Secretary/Treasurer</t>
  </si>
  <si>
    <t>Board Member</t>
  </si>
  <si>
    <t>Pima</t>
  </si>
  <si>
    <t>Nosotros Academy</t>
  </si>
  <si>
    <t>Nosotros Academy LLC</t>
  </si>
  <si>
    <t>108707000</t>
  </si>
  <si>
    <t>Ronald D. Kovar</t>
  </si>
  <si>
    <t>Ronald D. Kovar, Finance Director</t>
  </si>
  <si>
    <t>Rudy</t>
  </si>
  <si>
    <t>Luis</t>
  </si>
  <si>
    <t>Marjorie</t>
  </si>
  <si>
    <t>Gallego</t>
  </si>
  <si>
    <t>Kamei</t>
  </si>
  <si>
    <t>Schiller</t>
  </si>
  <si>
    <t>Erika</t>
  </si>
  <si>
    <t>Fragozo</t>
  </si>
  <si>
    <t>Jesus</t>
  </si>
  <si>
    <t>Perez</t>
  </si>
  <si>
    <t>Ronald</t>
  </si>
  <si>
    <t>Kovar</t>
  </si>
  <si>
    <t>Carlos</t>
  </si>
  <si>
    <t>Armendariz</t>
  </si>
  <si>
    <t>info@nosotrosacademy.org</t>
  </si>
  <si>
    <t>Quick Books</t>
  </si>
  <si>
    <t>http://nosotrosacademy.org</t>
  </si>
  <si>
    <t>Single Management (non-profit)</t>
  </si>
  <si>
    <t>Nosotros</t>
  </si>
  <si>
    <t>440 N. Grande Ave</t>
  </si>
  <si>
    <t>Tucson</t>
  </si>
  <si>
    <t xml:space="preserve">AZ </t>
  </si>
  <si>
    <t>86-0271490</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</si>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</sst>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 numFmtId="180" formatCode="\(0E+00\);\(\-0E+00\)"/>
  </numFmts>
  <fonts count="50">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u/>
      <sz val="10"/>
      <color theme="1"/>
      <name val="Arial"/>
      <family val="2"/>
    </font>
    <font>
      <sz val="10"/>
      <name val="Arial"/>
      <family val="2"/>
    </font>
    <font>
      <b/>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55037079989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96795556505021"/>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7" fillId="2" borderId="0"/>
    <xf numFmtId="0" fontId="48" fillId="0" borderId="0"/>
    <xf numFmtId="0" fontId="1" fillId="0" borderId="0"/>
  </cellStyleXfs>
  <cellXfs count="633">
    <xf numFmtId="0" fontId="0" fillId="0" borderId="0" xfId="0"/>
    <xf numFmtId="0" fontId="2" fillId="0" borderId="0" xfId="0" applyFont="1" applyAlignment="1">
      <alignment horizontal="left"/>
    </xf>
    <xf numFmtId="49" fontId="0" fillId="0" borderId="3" xfId="0" applyNumberFormat="1" applyBorder="1" applyAlignment="1" applyProtection="1">
      <alignment horizontal="center"/>
      <protection locked="0"/>
    </xf>
    <xf numFmtId="0" fontId="31" fillId="0" borderId="0" xfId="0" applyFont="1" applyAlignment="1">
      <alignment horizontal="center"/>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3"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179" fontId="0" fillId="0" borderId="3" xfId="0" applyNumberFormat="1" applyBorder="1" applyProtection="1">
      <protection locked="0"/>
    </xf>
    <xf numFmtId="0" fontId="2" fillId="0" borderId="0" xfId="8" applyFont="1" applyAlignment="1">
      <alignment horizontal="right"/>
    </xf>
    <xf numFmtId="49" fontId="2" fillId="0" borderId="0" xfId="8" applyNumberFormat="1" applyFont="1" applyAlignment="1">
      <alignment horizontal="center"/>
    </xf>
    <xf numFmtId="0" fontId="15" fillId="0" borderId="0" xfId="8" applyFont="1"/>
    <xf numFmtId="49" fontId="2" fillId="0" borderId="0" xfId="8" applyNumberFormat="1" applyFont="1" applyAlignment="1">
      <alignment horizontal="left"/>
    </xf>
    <xf numFmtId="0" fontId="0" fillId="0" borderId="0" xfId="0" applyAlignment="1">
      <alignment horizontal="left"/>
    </xf>
    <xf numFmtId="0" fontId="30"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4"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4" fillId="4" borderId="24" xfId="6" applyFont="1" applyFill="1" applyBorder="1" applyAlignment="1" applyProtection="1">
      <alignment horizontal="left"/>
    </xf>
    <xf numFmtId="0" fontId="34"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3"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4" fillId="4" borderId="24" xfId="6" applyFont="1" applyFill="1" applyBorder="1" applyProtection="1"/>
    <xf numFmtId="170" fontId="0" fillId="0" borderId="24" xfId="0" applyNumberFormat="1" applyBorder="1"/>
    <xf numFmtId="0" fontId="29" fillId="0" borderId="20" xfId="0" applyFont="1" applyBorder="1"/>
    <xf numFmtId="0" fontId="29"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3" xfId="0" quotePrefix="1" applyNumberFormat="1" applyBorder="1"/>
    <xf numFmtId="0" fontId="19" fillId="4" borderId="0" xfId="0" applyFont="1" applyFill="1"/>
    <xf numFmtId="0" fontId="41" fillId="4"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2" fillId="0" borderId="0" xfId="8" applyNumberFormat="1" applyFont="1"/>
    <xf numFmtId="0" fontId="36" fillId="0" borderId="0" xfId="8" applyFont="1"/>
    <xf numFmtId="164" fontId="0" fillId="0" borderId="0" xfId="8" applyNumberFormat="1" applyFont="1" applyAlignment="1">
      <alignment horizontal="left" wrapText="1"/>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2"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3" xfId="2" applyNumberFormat="1" applyFont="1" applyBorder="1" applyProtection="1"/>
    <xf numFmtId="39" fontId="0" fillId="0" borderId="9"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39" fontId="0" fillId="0" borderId="0" xfId="2" applyNumberFormat="1" applyFont="1" applyProtection="1"/>
    <xf numFmtId="0" fontId="15" fillId="0" borderId="0" xfId="8" applyFont="1" applyAlignment="1">
      <alignment horizontal="center"/>
    </xf>
    <xf numFmtId="164" fontId="29" fillId="3" borderId="0" xfId="8" applyNumberFormat="1" applyFont="1" applyFill="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3"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2" fillId="0" borderId="0" xfId="0" applyFont="1"/>
    <xf numFmtId="0" fontId="31"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3" fillId="0" borderId="0" xfId="0" applyFont="1"/>
    <xf numFmtId="166" fontId="0" fillId="0" borderId="9" xfId="0" applyNumberFormat="1" applyBorder="1" applyAlignment="1">
      <alignment horizontal="right" vertical="top"/>
    </xf>
    <xf numFmtId="0" fontId="35"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 fillId="0" borderId="0" xfId="6" applyAlignment="1" applyProtection="1">
      <alignment vertical="top" wrapText="1"/>
    </xf>
    <xf numFmtId="0" fontId="41"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49" fontId="0" fillId="0" borderId="3" xfId="0" applyNumberFormat="1" applyBorder="1"/>
    <xf numFmtId="0" fontId="33" fillId="4" borderId="0" xfId="0" applyFont="1" applyFill="1"/>
    <xf numFmtId="49" fontId="0" fillId="0" borderId="0" xfId="0" applyNumberFormat="1" applyAlignment="1">
      <alignment horizontal="left" vertical="top"/>
    </xf>
    <xf numFmtId="0" fontId="35" fillId="0" borderId="0" xfId="0" applyFont="1"/>
    <xf numFmtId="0" fontId="33" fillId="4" borderId="0" xfId="0" applyFont="1" applyFill="1" applyAlignment="1">
      <alignment vertical="center"/>
    </xf>
    <xf numFmtId="0" fontId="12" fillId="0" borderId="0" xfId="0" applyFont="1" applyAlignment="1">
      <alignment vertical="center"/>
    </xf>
    <xf numFmtId="0" fontId="4"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9" fillId="3" borderId="26" xfId="6" applyFont="1" applyFill="1" applyBorder="1" applyAlignment="1" applyProtection="1">
      <alignment horizontal="center"/>
    </xf>
    <xf numFmtId="0" fontId="2" fillId="0" borderId="3" xfId="0" applyFont="1" applyBorder="1"/>
    <xf numFmtId="0" fontId="0" fillId="0" borderId="1"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1"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1" xfId="0" applyNumberFormat="1" applyBorder="1"/>
    <xf numFmtId="164" fontId="0" fillId="0" borderId="18" xfId="0" applyNumberFormat="1" applyBorder="1" applyAlignment="1">
      <alignment horizontal="left"/>
    </xf>
    <xf numFmtId="38" fontId="0" fillId="0" borderId="2" xfId="0" applyNumberFormat="1" applyBorder="1"/>
    <xf numFmtId="164" fontId="0" fillId="0" borderId="13"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3" borderId="3" xfId="6" applyFont="1" applyFill="1" applyBorder="1" applyProtection="1"/>
    <xf numFmtId="0" fontId="26" fillId="3" borderId="3" xfId="6" applyFont="1" applyFill="1" applyBorder="1" applyProtection="1"/>
    <xf numFmtId="38" fontId="0" fillId="5" borderId="1" xfId="0" applyNumberFormat="1" applyFill="1" applyBorder="1"/>
    <xf numFmtId="0" fontId="0" fillId="0" borderId="9" xfId="0" applyBorder="1"/>
    <xf numFmtId="3" fontId="0" fillId="0" borderId="1" xfId="0" applyNumberFormat="1" applyBorder="1"/>
    <xf numFmtId="37" fontId="0" fillId="0" borderId="1" xfId="0" applyNumberFormat="1" applyBorder="1"/>
    <xf numFmtId="0" fontId="2"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8" fillId="3" borderId="0" xfId="6" applyFont="1" applyFill="1" applyAlignment="1" applyProtection="1">
      <alignment horizontal="centerContinuous"/>
    </xf>
    <xf numFmtId="0" fontId="27"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3" borderId="0" xfId="6" applyFont="1" applyFill="1" applyAlignment="1" applyProtection="1">
      <alignment vertical="center"/>
    </xf>
    <xf numFmtId="0" fontId="0" fillId="3"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9"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9"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30" fillId="3" borderId="0" xfId="6" applyFont="1" applyFill="1" applyAlignment="1" applyProtection="1">
      <alignment horizontal="left" vertical="center"/>
    </xf>
    <xf numFmtId="0" fontId="32" fillId="3" borderId="0" xfId="6" applyFont="1" applyFill="1" applyProtection="1"/>
    <xf numFmtId="0" fontId="39" fillId="3" borderId="0" xfId="6" applyFont="1" applyFill="1" applyProtection="1"/>
    <xf numFmtId="0" fontId="27" fillId="3" borderId="0" xfId="6" applyFont="1" applyFill="1" applyProtection="1"/>
    <xf numFmtId="0" fontId="40" fillId="3"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3"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2" fillId="0" borderId="0" xfId="6" applyFont="1" applyAlignment="1" applyProtection="1">
      <alignment horizontal="centerContinuous" vertical="center"/>
    </xf>
    <xf numFmtId="0" fontId="30"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9" fillId="3" borderId="18" xfId="6" applyFont="1" applyFill="1" applyBorder="1" applyProtection="1"/>
    <xf numFmtId="0" fontId="26"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2" xfId="0" applyNumberFormat="1" applyBorder="1" applyAlignment="1">
      <alignment horizontal="right"/>
    </xf>
    <xf numFmtId="0" fontId="4" fillId="3" borderId="0" xfId="6" applyFill="1" applyProtection="1"/>
    <xf numFmtId="0" fontId="28"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9"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6" fillId="3" borderId="32" xfId="6" applyFont="1" applyFill="1" applyBorder="1" applyProtection="1"/>
    <xf numFmtId="164" fontId="0" fillId="0" borderId="32" xfId="0" applyNumberFormat="1" applyBorder="1"/>
    <xf numFmtId="49" fontId="24" fillId="0" borderId="3" xfId="0" applyNumberFormat="1" applyFont="1" applyBorder="1"/>
    <xf numFmtId="0" fontId="24" fillId="0" borderId="32" xfId="0" applyFont="1" applyBorder="1"/>
    <xf numFmtId="0" fontId="24" fillId="0" borderId="8" xfId="0" applyFont="1" applyBorder="1" applyAlignment="1">
      <alignment horizontal="center"/>
    </xf>
    <xf numFmtId="0" fontId="24" fillId="0" borderId="18" xfId="0" applyFont="1" applyBorder="1"/>
    <xf numFmtId="0" fontId="24" fillId="0" borderId="13" xfId="0" applyFont="1" applyBorder="1" applyAlignment="1">
      <alignment horizontal="center"/>
    </xf>
    <xf numFmtId="0" fontId="24" fillId="0" borderId="5" xfId="0" applyFont="1" applyBorder="1" applyAlignment="1">
      <alignment horizontal="center"/>
    </xf>
    <xf numFmtId="38" fontId="24" fillId="0" borderId="1" xfId="0" applyNumberFormat="1" applyFont="1" applyBorder="1"/>
    <xf numFmtId="166" fontId="0" fillId="0" borderId="8" xfId="0" applyNumberFormat="1" applyBorder="1"/>
    <xf numFmtId="0" fontId="24" fillId="0" borderId="8" xfId="0" applyFont="1" applyBorder="1"/>
    <xf numFmtId="0" fontId="24" fillId="0" borderId="28" xfId="0" applyFont="1" applyBorder="1"/>
    <xf numFmtId="38" fontId="24" fillId="0" borderId="7"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33" xfId="0" applyFont="1" applyBorder="1"/>
    <xf numFmtId="0" fontId="2" fillId="0" borderId="18" xfId="0" applyFont="1" applyBorder="1" applyAlignment="1">
      <alignment horizontal="left"/>
    </xf>
    <xf numFmtId="0" fontId="25" fillId="0" borderId="0" xfId="0" applyFont="1" applyAlignment="1">
      <alignment horizontal="left"/>
    </xf>
    <xf numFmtId="0" fontId="24" fillId="0" borderId="13" xfId="0" applyFont="1" applyBorder="1"/>
    <xf numFmtId="0" fontId="25" fillId="0" borderId="7" xfId="0" applyFont="1" applyBorder="1" applyAlignment="1">
      <alignment horizontal="left"/>
    </xf>
    <xf numFmtId="0" fontId="25" fillId="0" borderId="3" xfId="0" applyFont="1" applyBorder="1" applyAlignment="1">
      <alignment horizontal="left"/>
    </xf>
    <xf numFmtId="0" fontId="24" fillId="0" borderId="5" xfId="0" applyFont="1" applyBorder="1"/>
    <xf numFmtId="38" fontId="24" fillId="0" borderId="8" xfId="0" applyNumberFormat="1" applyFont="1" applyBorder="1"/>
    <xf numFmtId="0" fontId="24" fillId="0" borderId="0" xfId="0" applyFont="1" applyAlignment="1">
      <alignment horizontal="left"/>
    </xf>
    <xf numFmtId="38" fontId="24" fillId="0" borderId="0" xfId="0" applyNumberFormat="1" applyFont="1"/>
    <xf numFmtId="0" fontId="24" fillId="0" borderId="7" xfId="0" applyFont="1" applyBorder="1"/>
    <xf numFmtId="0" fontId="24" fillId="0" borderId="3" xfId="0" applyFont="1" applyBorder="1"/>
    <xf numFmtId="38" fontId="24" fillId="0" borderId="26" xfId="0" applyNumberFormat="1" applyFont="1" applyBorder="1"/>
    <xf numFmtId="38" fontId="24" fillId="0" borderId="18" xfId="0" applyNumberFormat="1" applyFont="1" applyBorder="1"/>
    <xf numFmtId="0" fontId="25" fillId="0" borderId="18" xfId="0" applyFont="1" applyBorder="1"/>
    <xf numFmtId="0" fontId="24" fillId="0" borderId="14" xfId="0" applyFont="1" applyBorder="1"/>
    <xf numFmtId="0" fontId="24" fillId="0" borderId="9"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27"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3"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9" fillId="4"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2"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9" fillId="4" borderId="0" xfId="6" applyFont="1" applyFill="1" applyAlignment="1" applyProtection="1">
      <alignment horizontal="center" vertical="top"/>
    </xf>
    <xf numFmtId="0" fontId="0" fillId="4" borderId="0" xfId="0" applyFill="1" applyAlignment="1">
      <alignment horizontal="center" vertical="top" wrapText="1"/>
    </xf>
    <xf numFmtId="0" fontId="29" fillId="3" borderId="0" xfId="0" applyFont="1" applyFill="1"/>
    <xf numFmtId="170" fontId="0" fillId="0" borderId="0" xfId="8" applyNumberFormat="1" applyFont="1" applyAlignment="1">
      <alignment horizontal="center"/>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29" fillId="7" borderId="0" xfId="6" applyFont="1" applyFill="1" applyAlignment="1" applyProtection="1">
      <alignment horizontal="center" vertical="top"/>
    </xf>
    <xf numFmtId="0" fontId="0" fillId="7" borderId="0" xfId="0" applyFill="1" applyAlignment="1">
      <alignment horizontal="center" vertical="top" wrapText="1"/>
    </xf>
    <xf numFmtId="0" fontId="41" fillId="4" borderId="0" xfId="0" applyFont="1" applyFill="1" applyAlignment="1">
      <alignment vertical="top" wrapText="1"/>
    </xf>
    <xf numFmtId="0" fontId="19" fillId="7" borderId="0" xfId="0" applyFont="1" applyFill="1" applyAlignment="1">
      <alignment vertical="top" wrapText="1"/>
    </xf>
    <xf numFmtId="0" fontId="0" fillId="7" borderId="0" xfId="0" applyFill="1"/>
    <xf numFmtId="0" fontId="0" fillId="7" borderId="0" xfId="0" applyFill="1" applyAlignment="1">
      <alignment vertical="center"/>
    </xf>
    <xf numFmtId="0" fontId="0" fillId="7" borderId="0" xfId="6" applyFont="1" applyFill="1" applyAlignment="1" applyProtection="1">
      <alignment vertical="top" wrapText="1"/>
    </xf>
    <xf numFmtId="0" fontId="0" fillId="7" borderId="0" xfId="0" applyFill="1" applyAlignment="1">
      <alignment vertical="top" wrapText="1"/>
    </xf>
    <xf numFmtId="0" fontId="0" fillId="0" borderId="0" xfId="0" applyAlignment="1">
      <alignment horizontal="center"/>
    </xf>
    <xf numFmtId="0" fontId="2" fillId="0" borderId="0" xfId="0" applyFont="1" applyAlignment="1">
      <alignment horizontal="center"/>
    </xf>
    <xf numFmtId="164" fontId="0" fillId="0" borderId="0" xfId="0" applyNumberFormat="1"/>
    <xf numFmtId="0" fontId="0" fillId="0" borderId="3" xfId="0" applyBorder="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3" xfId="0" applyBorder="1" applyAlignment="1">
      <alignment horizontal="left"/>
    </xf>
    <xf numFmtId="49" fontId="0" fillId="0" borderId="3" xfId="0" applyNumberFormat="1" applyBorder="1" applyAlignment="1">
      <alignment horizontal="center"/>
    </xf>
    <xf numFmtId="0" fontId="0" fillId="0" borderId="0" xfId="0" applyAlignment="1">
      <alignment horizontal="left" vertical="top" wrapText="1"/>
    </xf>
    <xf numFmtId="0" fontId="30" fillId="3" borderId="0" xfId="6" applyFont="1" applyFill="1" applyAlignment="1" applyProtection="1">
      <alignment horizontal="right"/>
    </xf>
    <xf numFmtId="0" fontId="0" fillId="0" borderId="2" xfId="0" applyBorder="1" applyAlignment="1">
      <alignment horizontal="center" wrapText="1"/>
    </xf>
    <xf numFmtId="0" fontId="0" fillId="0" borderId="7" xfId="0" applyBorder="1" applyAlignment="1">
      <alignment horizontal="left"/>
    </xf>
    <xf numFmtId="0" fontId="0" fillId="0" borderId="2" xfId="0" applyBorder="1"/>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3" xfId="0" applyNumberFormat="1" applyBorder="1" applyAlignment="1">
      <alignment horizontal="left"/>
    </xf>
    <xf numFmtId="0" fontId="0" fillId="0" borderId="0" xfId="11" applyFont="1" applyAlignment="1">
      <alignment horizontal="center"/>
    </xf>
    <xf numFmtId="0" fontId="0" fillId="0" borderId="0" xfId="4" applyNumberFormat="1" applyFont="1" applyBorder="1" applyAlignment="1" applyProtection="1">
      <alignment horizontal="left" vertical="top"/>
    </xf>
    <xf numFmtId="0" fontId="29" fillId="7" borderId="0" xfId="6" applyFont="1" applyFill="1" applyAlignment="1" applyProtection="1">
      <alignment horizontal="center" vertical="top" wrapText="1"/>
    </xf>
    <xf numFmtId="0" fontId="29" fillId="0" borderId="0" xfId="6" applyFont="1" applyFill="1" applyAlignment="1" applyProtection="1">
      <alignment horizontal="center" vertical="top" wrapText="1"/>
    </xf>
    <xf numFmtId="0" fontId="37" fillId="0" borderId="0" xfId="0" applyFont="1" applyAlignment="1">
      <alignment horizontal="right"/>
    </xf>
    <xf numFmtId="0" fontId="37" fillId="0" borderId="0" xfId="0" applyFont="1" applyAlignment="1">
      <alignment horizontal="left" vertical="top"/>
    </xf>
    <xf numFmtId="0" fontId="49" fillId="0" borderId="0" xfId="0" applyFont="1" applyAlignment="1">
      <alignment horizontal="left" vertical="top"/>
    </xf>
    <xf numFmtId="0" fontId="37" fillId="0" borderId="0" xfId="0" quotePrefix="1" applyFont="1" applyAlignment="1">
      <alignment horizontal="right"/>
    </xf>
    <xf numFmtId="37" fontId="37" fillId="0" borderId="2" xfId="0" applyNumberFormat="1" applyFont="1" applyBorder="1" applyProtection="1">
      <protection locked="0"/>
    </xf>
    <xf numFmtId="180" fontId="7" fillId="0" borderId="0" xfId="6" quotePrefix="1" applyNumberFormat="1" applyFont="1" applyFill="1" applyAlignment="1" applyProtection="1">
      <alignment horizontal="right"/>
    </xf>
    <xf numFmtId="37" fontId="37" fillId="0" borderId="0" xfId="0" applyNumberFormat="1" applyFont="1" applyAlignment="1">
      <alignment wrapText="1"/>
    </xf>
    <xf numFmtId="0" fontId="0" fillId="0" borderId="0" xfId="0" quotePrefix="1" applyAlignment="1">
      <alignment horizontal="left"/>
    </xf>
    <xf numFmtId="0" fontId="49" fillId="0" borderId="0" xfId="0" applyFont="1" applyAlignment="1">
      <alignment wrapText="1"/>
    </xf>
    <xf numFmtId="37" fontId="37" fillId="0" borderId="9" xfId="0" applyNumberFormat="1" applyFont="1" applyBorder="1"/>
    <xf numFmtId="37" fontId="37" fillId="0" borderId="2" xfId="0" applyNumberFormat="1" applyFont="1" applyBorder="1"/>
    <xf numFmtId="49" fontId="37" fillId="0" borderId="0" xfId="6" applyNumberFormat="1" applyFont="1" applyFill="1" applyAlignment="1" applyProtection="1">
      <alignment horizontal="center" vertical="top"/>
    </xf>
    <xf numFmtId="37" fontId="37" fillId="0" borderId="0" xfId="0" applyNumberFormat="1" applyFont="1"/>
    <xf numFmtId="180" fontId="37" fillId="2" borderId="0" xfId="10" applyNumberFormat="1" applyFont="1" applyFill="1"/>
    <xf numFmtId="180" fontId="35" fillId="2" borderId="0" xfId="10" applyNumberFormat="1" applyFont="1" applyFill="1"/>
    <xf numFmtId="180" fontId="35" fillId="0" borderId="0" xfId="10" applyNumberFormat="1" applyFont="1"/>
    <xf numFmtId="0" fontId="35" fillId="0" borderId="0" xfId="10" applyFont="1"/>
    <xf numFmtId="0" fontId="49" fillId="0" borderId="0" xfId="10" applyFont="1" applyAlignment="1">
      <alignment horizontal="right"/>
    </xf>
    <xf numFmtId="0" fontId="37" fillId="0" borderId="0" xfId="10" applyFont="1" applyAlignment="1">
      <alignment horizontal="center"/>
    </xf>
    <xf numFmtId="180" fontId="37" fillId="0" borderId="0" xfId="10" applyNumberFormat="1" applyFont="1"/>
    <xf numFmtId="180" fontId="49" fillId="2" borderId="0" xfId="10" applyNumberFormat="1" applyFont="1" applyFill="1" applyAlignment="1">
      <alignment horizontal="center"/>
    </xf>
    <xf numFmtId="180" fontId="2" fillId="2" borderId="0" xfId="10" applyNumberFormat="1" applyFont="1" applyFill="1" applyAlignment="1">
      <alignment horizontal="center"/>
    </xf>
    <xf numFmtId="0" fontId="37" fillId="0" borderId="0" xfId="8" applyFont="1"/>
    <xf numFmtId="37" fontId="37" fillId="0" borderId="0" xfId="8" applyNumberFormat="1" applyFont="1"/>
    <xf numFmtId="0" fontId="49" fillId="0" borderId="0" xfId="8" applyFont="1" applyAlignment="1">
      <alignment horizontal="right"/>
    </xf>
    <xf numFmtId="37" fontId="37" fillId="0" borderId="0" xfId="8" applyNumberFormat="1" applyFont="1" applyAlignment="1">
      <alignment horizontal="left"/>
    </xf>
    <xf numFmtId="0" fontId="35" fillId="0" borderId="0" xfId="8" applyFont="1"/>
    <xf numFmtId="0" fontId="35" fillId="4" borderId="0" xfId="8" applyFont="1" applyFill="1"/>
    <xf numFmtId="37" fontId="49" fillId="0" borderId="0" xfId="8" applyNumberFormat="1" applyFont="1" applyAlignment="1">
      <alignment horizontal="left"/>
    </xf>
    <xf numFmtId="0" fontId="49" fillId="9" borderId="2" xfId="0" applyFont="1" applyFill="1" applyBorder="1" applyAlignment="1">
      <alignment horizontal="center" wrapText="1"/>
    </xf>
    <xf numFmtId="0" fontId="7" fillId="3" borderId="0" xfId="6" applyFont="1" applyFill="1" applyProtection="1"/>
    <xf numFmtId="0" fontId="7" fillId="3" borderId="0" xfId="6" quotePrefix="1" applyFont="1" applyFill="1" applyProtection="1"/>
    <xf numFmtId="38" fontId="0" fillId="0" borderId="5" xfId="0" quotePrefix="1" applyNumberFormat="1" applyBorder="1"/>
    <xf numFmtId="38" fontId="0" fillId="0" borderId="1" xfId="0" quotePrefix="1" applyNumberFormat="1" applyBorder="1"/>
    <xf numFmtId="0" fontId="29" fillId="0" borderId="0" xfId="6" applyFont="1" applyFill="1" applyAlignment="1" applyProtection="1">
      <alignment horizontal="center" vertical="top"/>
    </xf>
    <xf numFmtId="0" fontId="0" fillId="0" borderId="0" xfId="0" quotePrefix="1" applyAlignment="1">
      <alignment vertical="top" wrapText="1"/>
    </xf>
    <xf numFmtId="0" fontId="29" fillId="3" borderId="0" xfId="6" applyFont="1" applyFill="1" applyAlignment="1" applyProtection="1">
      <alignment horizontal="left"/>
    </xf>
    <xf numFmtId="0" fontId="7" fillId="3"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32" xfId="0" applyBorder="1" applyAlignment="1">
      <alignment horizontal="center"/>
    </xf>
    <xf numFmtId="0" fontId="0" fillId="0" borderId="3"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3" xfId="0" applyNumberFormat="1" applyBorder="1" applyProtection="1">
      <protection locked="0"/>
    </xf>
    <xf numFmtId="167" fontId="0" fillId="0" borderId="9"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29"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7" borderId="2" xfId="0" applyFill="1" applyBorder="1" applyAlignment="1" applyProtection="1">
      <alignment horizontal="left"/>
      <protection locked="0"/>
    </xf>
    <xf numFmtId="0" fontId="0" fillId="0" borderId="14" xfId="0" applyBorder="1" applyProtection="1">
      <protection locked="0"/>
    </xf>
    <xf numFmtId="0" fontId="0" fillId="0" borderId="27" xfId="0" applyBorder="1" applyProtection="1">
      <protection locked="0"/>
    </xf>
    <xf numFmtId="0" fontId="0" fillId="7" borderId="2" xfId="0" applyFill="1" applyBorder="1" applyAlignment="1" applyProtection="1">
      <alignment horizontal="center"/>
      <protection locked="0"/>
    </xf>
    <xf numFmtId="0" fontId="0" fillId="7" borderId="0" xfId="0" applyFill="1" applyAlignment="1">
      <alignment horizontal="center"/>
    </xf>
    <xf numFmtId="0" fontId="0" fillId="0" borderId="3" xfId="0" applyBorder="1" applyAlignment="1">
      <alignment horizontal="center"/>
    </xf>
    <xf numFmtId="0" fontId="0" fillId="0" borderId="14" xfId="0" applyBorder="1" applyAlignment="1" applyProtection="1">
      <alignment horizontal="left"/>
      <protection locked="0"/>
    </xf>
    <xf numFmtId="0" fontId="0" fillId="0" borderId="27" xfId="0" applyBorder="1" applyAlignment="1" applyProtection="1">
      <alignment horizontal="left"/>
      <protection locked="0"/>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0" xfId="0" applyAlignment="1">
      <alignment horizontal="left" vertical="center"/>
    </xf>
    <xf numFmtId="0" fontId="0" fillId="0" borderId="13" xfId="0" applyBorder="1" applyAlignment="1">
      <alignment horizontal="left" vertical="center"/>
    </xf>
    <xf numFmtId="0" fontId="0" fillId="0" borderId="3" xfId="0" applyBorder="1" applyAlignment="1">
      <alignment horizontal="left" vertical="top"/>
    </xf>
    <xf numFmtId="49" fontId="30" fillId="3" borderId="0" xfId="6" applyNumberFormat="1" applyFont="1" applyFill="1" applyAlignment="1" applyProtection="1">
      <alignment horizontal="center" vertical="top"/>
    </xf>
    <xf numFmtId="0" fontId="0" fillId="0" borderId="14" xfId="0" applyBorder="1" applyAlignment="1">
      <alignment horizontal="center"/>
    </xf>
    <xf numFmtId="0" fontId="0" fillId="0" borderId="27" xfId="0" applyBorder="1" applyAlignment="1">
      <alignment horizontal="center"/>
    </xf>
    <xf numFmtId="0" fontId="0" fillId="7" borderId="0" xfId="0" applyFill="1" applyAlignment="1">
      <alignment horizontal="left" vertical="center"/>
    </xf>
    <xf numFmtId="0" fontId="0" fillId="0" borderId="0" xfId="0" applyAlignment="1">
      <alignment horizontal="left" wrapText="1"/>
    </xf>
    <xf numFmtId="0" fontId="0" fillId="0" borderId="13"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0" xfId="0" applyAlignment="1">
      <alignment horizontal="left" vertical="top" wrapText="1"/>
    </xf>
    <xf numFmtId="0" fontId="0" fillId="0" borderId="13" xfId="0" applyBorder="1" applyAlignment="1">
      <alignment horizontal="left" vertical="top" wrapText="1"/>
    </xf>
    <xf numFmtId="0" fontId="30" fillId="3" borderId="0" xfId="6" applyFont="1" applyFill="1" applyAlignment="1" applyProtection="1">
      <alignment horizontal="right"/>
    </xf>
    <xf numFmtId="0" fontId="44" fillId="3" borderId="0" xfId="6" applyFont="1" applyFill="1" applyAlignment="1" applyProtection="1">
      <alignment horizontal="right"/>
    </xf>
    <xf numFmtId="0" fontId="0" fillId="0" borderId="2" xfId="0" applyBorder="1" applyAlignment="1">
      <alignment horizontal="center" wrapText="1"/>
    </xf>
    <xf numFmtId="0" fontId="26" fillId="3" borderId="0" xfId="6" applyFont="1" applyFill="1" applyAlignment="1" applyProtection="1">
      <alignment horizontal="left" vertical="top" wrapText="1"/>
    </xf>
    <xf numFmtId="0" fontId="4" fillId="0" borderId="32" xfId="6" applyBorder="1"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2"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4" fillId="0" borderId="28" xfId="0" applyFont="1" applyBorder="1" applyAlignment="1">
      <alignment horizontal="center"/>
    </xf>
    <xf numFmtId="0" fontId="24" fillId="0" borderId="33" xfId="0" applyFont="1" applyBorder="1" applyAlignment="1">
      <alignment horizontal="center"/>
    </xf>
    <xf numFmtId="0" fontId="24" fillId="0" borderId="14" xfId="0" applyFont="1" applyBorder="1" applyAlignment="1">
      <alignment horizontal="center"/>
    </xf>
    <xf numFmtId="0" fontId="24" fillId="0" borderId="27" xfId="0" applyFont="1" applyBorder="1" applyAlignment="1">
      <alignment horizontal="center"/>
    </xf>
    <xf numFmtId="0" fontId="0" fillId="0" borderId="7" xfId="0" applyBorder="1" applyAlignment="1">
      <alignment horizontal="left"/>
    </xf>
    <xf numFmtId="0" fontId="0" fillId="0" borderId="2" xfId="0" applyBorder="1" applyAlignment="1">
      <alignment horizontal="left"/>
    </xf>
    <xf numFmtId="38" fontId="24" fillId="0" borderId="14" xfId="0" applyNumberFormat="1" applyFont="1" applyBorder="1" applyAlignment="1">
      <alignment horizontal="center"/>
    </xf>
    <xf numFmtId="38" fontId="24" fillId="0" borderId="27" xfId="0" applyNumberFormat="1" applyFont="1" applyBorder="1" applyAlignment="1">
      <alignment horizontal="center"/>
    </xf>
    <xf numFmtId="0" fontId="31" fillId="0" borderId="0" xfId="0" applyFont="1" applyAlignment="1">
      <alignment horizontal="center" vertical="top" wrapText="1"/>
    </xf>
    <xf numFmtId="0" fontId="24" fillId="0" borderId="28" xfId="0" applyFont="1" applyBorder="1" applyAlignment="1">
      <alignment horizontal="left" vertical="top"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3" xfId="0" applyFont="1" applyBorder="1" applyAlignment="1">
      <alignment horizontal="left" vertical="top" wrapText="1"/>
    </xf>
    <xf numFmtId="0" fontId="24" fillId="0" borderId="7" xfId="0" applyFont="1" applyBorder="1" applyAlignment="1">
      <alignment horizontal="left" vertical="top" wrapText="1"/>
    </xf>
    <xf numFmtId="0" fontId="24" fillId="0" borderId="3" xfId="0" applyFont="1" applyBorder="1" applyAlignment="1">
      <alignment horizontal="left" vertical="top" wrapText="1"/>
    </xf>
    <xf numFmtId="0" fontId="24" fillId="0" borderId="5" xfId="0" applyFont="1" applyBorder="1" applyAlignment="1">
      <alignment horizontal="left" vertical="top" wrapText="1"/>
    </xf>
    <xf numFmtId="37" fontId="49" fillId="0" borderId="0" xfId="8" applyNumberFormat="1" applyFont="1" applyAlignment="1">
      <alignment horizontal="left" wrapText="1"/>
    </xf>
    <xf numFmtId="0" fontId="49" fillId="0" borderId="0" xfId="0" applyFont="1"/>
    <xf numFmtId="37" fontId="37" fillId="0" borderId="28" xfId="0" applyNumberFormat="1" applyFont="1" applyBorder="1" applyAlignment="1" applyProtection="1">
      <alignment horizontal="left" vertical="top"/>
      <protection locked="0"/>
    </xf>
    <xf numFmtId="37" fontId="37" fillId="0" borderId="32" xfId="0" applyNumberFormat="1" applyFont="1" applyBorder="1" applyAlignment="1" applyProtection="1">
      <alignment horizontal="left" vertical="top"/>
      <protection locked="0"/>
    </xf>
    <xf numFmtId="37" fontId="37" fillId="0" borderId="33" xfId="0" applyNumberFormat="1" applyFont="1" applyBorder="1" applyAlignment="1" applyProtection="1">
      <alignment horizontal="left" vertical="top"/>
      <protection locked="0"/>
    </xf>
    <xf numFmtId="37" fontId="37" fillId="0" borderId="18" xfId="0" applyNumberFormat="1" applyFont="1" applyBorder="1" applyAlignment="1" applyProtection="1">
      <alignment horizontal="left" vertical="top"/>
      <protection locked="0"/>
    </xf>
    <xf numFmtId="37" fontId="37" fillId="0" borderId="0" xfId="0" applyNumberFormat="1" applyFont="1" applyAlignment="1" applyProtection="1">
      <alignment horizontal="left" vertical="top"/>
      <protection locked="0"/>
    </xf>
    <xf numFmtId="37" fontId="37" fillId="0" borderId="13" xfId="0" applyNumberFormat="1" applyFont="1" applyBorder="1" applyAlignment="1" applyProtection="1">
      <alignment horizontal="left" vertical="top"/>
      <protection locked="0"/>
    </xf>
    <xf numFmtId="37" fontId="37" fillId="0" borderId="7" xfId="0" applyNumberFormat="1" applyFont="1" applyBorder="1" applyAlignment="1" applyProtection="1">
      <alignment horizontal="left" vertical="top"/>
      <protection locked="0"/>
    </xf>
    <xf numFmtId="37" fontId="37" fillId="0" borderId="3" xfId="0" applyNumberFormat="1" applyFont="1" applyBorder="1" applyAlignment="1" applyProtection="1">
      <alignment horizontal="left" vertical="top"/>
      <protection locked="0"/>
    </xf>
    <xf numFmtId="37" fontId="37" fillId="0" borderId="5" xfId="0" applyNumberFormat="1" applyFont="1" applyBorder="1" applyAlignment="1" applyProtection="1">
      <alignment horizontal="left" vertical="top"/>
      <protection locked="0"/>
    </xf>
    <xf numFmtId="0" fontId="0" fillId="8" borderId="0" xfId="0" applyFill="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9" xfId="0" applyNumberFormat="1" applyBorder="1" applyProtection="1">
      <protection locked="0"/>
    </xf>
    <xf numFmtId="178" fontId="0" fillId="0" borderId="27" xfId="0" applyNumberFormat="1" applyBorder="1" applyProtection="1">
      <protection locked="0"/>
    </xf>
    <xf numFmtId="178" fontId="0" fillId="0" borderId="9" xfId="0" applyNumberFormat="1" applyBorder="1"/>
    <xf numFmtId="178" fontId="0" fillId="0" borderId="27" xfId="0" applyNumberFormat="1" applyBorder="1"/>
    <xf numFmtId="0" fontId="0" fillId="0" borderId="2" xfId="0" applyBorder="1" applyAlignment="1">
      <alignment horizontal="left" vertical="center" wrapText="1"/>
    </xf>
    <xf numFmtId="178" fontId="0" fillId="0" borderId="3"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0" fillId="0" borderId="2" xfId="0" applyBorder="1"/>
    <xf numFmtId="178" fontId="0" fillId="0" borderId="3" xfId="0" applyNumberFormat="1" applyBorder="1" applyProtection="1">
      <protection locked="0"/>
    </xf>
    <xf numFmtId="178" fontId="0" fillId="0" borderId="5" xfId="0" applyNumberFormat="1" applyBorder="1" applyProtection="1">
      <protection locked="0"/>
    </xf>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16" fillId="0" borderId="0" xfId="0" applyFont="1" applyAlignment="1">
      <alignment horizontal="left" vertical="top" wrapText="1"/>
    </xf>
    <xf numFmtId="0" fontId="45" fillId="0" borderId="0" xfId="0" applyFont="1" applyAlignment="1">
      <alignment horizontal="left" vertical="top" wrapText="1"/>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2" xfId="0" applyBorder="1" applyAlignment="1">
      <alignment horizontal="left" vertical="center"/>
    </xf>
    <xf numFmtId="0" fontId="0" fillId="0" borderId="14" xfId="8" applyFont="1" applyBorder="1" applyAlignment="1">
      <alignment horizontal="center" wrapText="1"/>
    </xf>
    <xf numFmtId="0" fontId="0" fillId="0" borderId="27" xfId="8" applyFont="1" applyBorder="1" applyAlignment="1">
      <alignment horizontal="center" wrapText="1"/>
    </xf>
    <xf numFmtId="0" fontId="0" fillId="0" borderId="9" xfId="0" applyBorder="1" applyAlignment="1">
      <alignment horizontal="center"/>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4" borderId="0" xfId="8" applyFont="1" applyFill="1" applyAlignment="1">
      <alignment horizontal="center"/>
    </xf>
    <xf numFmtId="0" fontId="0" fillId="0" borderId="0" xfId="0" applyAlignment="1">
      <alignment horizontal="right"/>
    </xf>
    <xf numFmtId="0" fontId="0" fillId="8" borderId="0" xfId="0" applyFill="1" applyAlignment="1">
      <alignment horizontal="left" wrapText="1"/>
    </xf>
    <xf numFmtId="49" fontId="0" fillId="0" borderId="3"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
      <fill>
        <patternFill patternType="none"/>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200150"/>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CSFORMS\budget24.xlsx" TargetMode="External"/><Relationship Id="rId1" Type="http://schemas.openxmlformats.org/officeDocument/2006/relationships/externalLinkPath" Target="file:///C:\CSFORMS\budge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4"/>
    </sheetNames>
    <definedNames>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420ExtendedSchool" refersTo="='Page 2'!$E$26"/>
      <definedName name="IEPtransportation" refersTo="='Page 2'!$N$14"/>
      <definedName name="IIPClassSizeReduction" refersTo="='Page 2'!$N$22"/>
      <definedName name="IIPDropoutPreventionPrograms" refersTo="='Page 2'!$N$23"/>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ompInstrProj" refersTo="='Page 1'!$L$47"/>
      <definedName name="SP1000P100F2200" refersTo="='Page 1'!$L$11"/>
      <definedName name="SP1000P100F2900" refersTo="='Page 1'!$L$16"/>
      <definedName name="SP1000P100F4000" refersTo="='Page 1'!$L$18"/>
      <definedName name="SP1000P100F5000" refersTo="='Page 1'!$L$19"/>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0</v>
          </cell>
        </row>
      </sheetData>
      <sheetData sheetId="1"/>
      <sheetData sheetId="2">
        <row r="8">
          <cell r="L8">
            <v>0</v>
          </cell>
        </row>
        <row r="11">
          <cell r="L11">
            <v>0</v>
          </cell>
        </row>
        <row r="16">
          <cell r="L16">
            <v>0</v>
          </cell>
        </row>
        <row r="18">
          <cell r="L18">
            <v>0</v>
          </cell>
        </row>
        <row r="19">
          <cell r="L19">
            <v>0</v>
          </cell>
        </row>
        <row r="20">
          <cell r="L20">
            <v>0</v>
          </cell>
        </row>
        <row r="21">
          <cell r="L21">
            <v>0</v>
          </cell>
        </row>
        <row r="22">
          <cell r="L22">
            <v>0</v>
          </cell>
        </row>
        <row r="27">
          <cell r="L27">
            <v>0</v>
          </cell>
        </row>
        <row r="28">
          <cell r="L28">
            <v>0</v>
          </cell>
        </row>
        <row r="29">
          <cell r="L29">
            <v>0</v>
          </cell>
        </row>
        <row r="30">
          <cell r="L30">
            <v>0</v>
          </cell>
        </row>
        <row r="31">
          <cell r="L31">
            <v>0</v>
          </cell>
        </row>
        <row r="32">
          <cell r="L32">
            <v>0</v>
          </cell>
        </row>
        <row r="33">
          <cell r="L33">
            <v>0</v>
          </cell>
        </row>
        <row r="34">
          <cell r="L34">
            <v>0</v>
          </cell>
        </row>
        <row r="35">
          <cell r="L35">
            <v>0</v>
          </cell>
        </row>
        <row r="36">
          <cell r="L36">
            <v>0</v>
          </cell>
        </row>
        <row r="40">
          <cell r="L40">
            <v>0</v>
          </cell>
        </row>
        <row r="41">
          <cell r="L41">
            <v>0</v>
          </cell>
        </row>
        <row r="42">
          <cell r="L42">
            <v>0</v>
          </cell>
        </row>
        <row r="46">
          <cell r="L46">
            <v>0</v>
          </cell>
        </row>
        <row r="47">
          <cell r="L47">
            <v>0</v>
          </cell>
        </row>
      </sheetData>
      <sheetData sheetId="3">
        <row r="5">
          <cell r="E5"/>
        </row>
        <row r="6">
          <cell r="N6"/>
        </row>
        <row r="7">
          <cell r="E7"/>
          <cell r="N7"/>
        </row>
        <row r="8">
          <cell r="E8"/>
          <cell r="N8"/>
        </row>
        <row r="9">
          <cell r="E9"/>
          <cell r="N9"/>
        </row>
        <row r="10">
          <cell r="E10"/>
          <cell r="N10"/>
        </row>
        <row r="11">
          <cell r="E11"/>
          <cell r="N11"/>
        </row>
        <row r="12">
          <cell r="E12"/>
        </row>
        <row r="13">
          <cell r="E13"/>
        </row>
        <row r="14">
          <cell r="E14"/>
          <cell r="N14"/>
        </row>
        <row r="15">
          <cell r="E15"/>
        </row>
        <row r="16">
          <cell r="E16"/>
        </row>
        <row r="17">
          <cell r="E17"/>
        </row>
        <row r="18">
          <cell r="E18"/>
        </row>
        <row r="19">
          <cell r="E19"/>
        </row>
        <row r="20">
          <cell r="E20"/>
        </row>
        <row r="21">
          <cell r="N21"/>
        </row>
        <row r="22">
          <cell r="N22"/>
        </row>
        <row r="23">
          <cell r="N23"/>
        </row>
        <row r="24">
          <cell r="E24"/>
        </row>
        <row r="25">
          <cell r="E25"/>
        </row>
        <row r="26">
          <cell r="E26"/>
        </row>
        <row r="27">
          <cell r="E27"/>
        </row>
        <row r="28">
          <cell r="E28"/>
        </row>
        <row r="29">
          <cell r="E29"/>
        </row>
        <row r="30">
          <cell r="E30"/>
        </row>
        <row r="31">
          <cell r="E31"/>
        </row>
        <row r="32">
          <cell r="E32"/>
        </row>
        <row r="33">
          <cell r="E33"/>
        </row>
        <row r="35">
          <cell r="E35"/>
        </row>
        <row r="40">
          <cell r="E40"/>
        </row>
        <row r="41">
          <cell r="E41"/>
        </row>
        <row r="42">
          <cell r="E42"/>
        </row>
        <row r="45">
          <cell r="E45"/>
        </row>
        <row r="48">
          <cell r="E48"/>
        </row>
      </sheetData>
      <sheetData sheetId="4">
        <row r="8">
          <cell r="K8">
            <v>0</v>
          </cell>
        </row>
        <row r="9">
          <cell r="K9">
            <v>0</v>
          </cell>
        </row>
        <row r="10">
          <cell r="K10">
            <v>0</v>
          </cell>
        </row>
        <row r="11">
          <cell r="K11">
            <v>0</v>
          </cell>
        </row>
        <row r="12">
          <cell r="K12">
            <v>0</v>
          </cell>
        </row>
      </sheetData>
      <sheetData sheetId="5">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10.bin"/><Relationship Id="rId4"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2"/>
  <sheetViews>
    <sheetView showGridLines="0" tabSelected="1" workbookViewId="0">
      <selection activeCell="R12" sqref="R12"/>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84" t="s">
        <v>0</v>
      </c>
      <c r="B1" s="485"/>
      <c r="C1" s="485"/>
      <c r="D1" s="479" t="s">
        <v>565</v>
      </c>
      <c r="E1" s="479"/>
      <c r="F1" s="479"/>
      <c r="G1" s="479"/>
      <c r="H1" s="479"/>
      <c r="I1" s="479"/>
      <c r="L1" s="410" t="s">
        <v>1</v>
      </c>
      <c r="M1" s="481" t="s">
        <v>564</v>
      </c>
      <c r="N1" s="481"/>
      <c r="O1" s="130" t="s">
        <v>2</v>
      </c>
      <c r="P1" s="2" t="s">
        <v>567</v>
      </c>
      <c r="Q1" s="131"/>
    </row>
    <row r="2" spans="1:18" ht="12.75" customHeight="1">
      <c r="D2" s="475" t="s">
        <v>3</v>
      </c>
      <c r="E2" s="475"/>
      <c r="F2" s="475"/>
      <c r="G2" s="475"/>
      <c r="H2" s="475"/>
      <c r="I2" s="475"/>
      <c r="M2" s="132"/>
      <c r="Q2" s="132"/>
      <c r="R2" s="409"/>
    </row>
    <row r="3" spans="1:18" ht="12.75" customHeight="1">
      <c r="D3" s="476" t="s">
        <v>566</v>
      </c>
      <c r="E3" s="476"/>
      <c r="F3" s="476"/>
      <c r="G3" s="476"/>
      <c r="H3" s="476"/>
      <c r="I3" s="476"/>
      <c r="M3" s="132"/>
      <c r="Q3" s="132"/>
      <c r="R3" s="409"/>
    </row>
    <row r="4" spans="1:18" ht="12.75" customHeight="1">
      <c r="D4" s="475" t="s">
        <v>4</v>
      </c>
      <c r="E4" s="475"/>
      <c r="F4" s="475"/>
      <c r="G4" s="475"/>
      <c r="H4" s="475"/>
      <c r="I4" s="475"/>
      <c r="L4" s="486" t="str">
        <f>IF(OR('Charter Contacts'!G7="",'Charter Contacts'!G8="",'Charter Contacts'!G10="",'Charter Contacts'!G12="",'Charter Contacts'!G13="",'Charter Contacts'!E18="",'Charter Contacts'!E19="",'Charter Contacts'!E20=""),"Please ensure the Charter Contacts tab is complete.","")</f>
        <v/>
      </c>
      <c r="M4" s="486"/>
      <c r="N4" s="486"/>
      <c r="O4" s="486"/>
      <c r="P4" s="486"/>
      <c r="Q4" s="486"/>
      <c r="R4" s="486"/>
    </row>
    <row r="5" spans="1:18" ht="12.75" customHeight="1">
      <c r="L5" s="486" t="str">
        <f>IF('Charter Contacts'!C30="","Please enter a SIS Vendor on the Charter Contacts tab.","")</f>
        <v/>
      </c>
      <c r="M5" s="486"/>
      <c r="N5" s="486"/>
      <c r="O5" s="486"/>
      <c r="P5" s="486"/>
      <c r="Q5" s="486"/>
      <c r="R5" s="486"/>
    </row>
    <row r="6" spans="1:18" ht="18" customHeight="1">
      <c r="A6" s="132"/>
      <c r="B6" s="503" t="s">
        <v>5</v>
      </c>
      <c r="C6" s="503"/>
      <c r="D6" s="503"/>
      <c r="E6" s="503"/>
      <c r="F6" s="503"/>
      <c r="G6" s="503"/>
      <c r="H6" s="503"/>
      <c r="I6" s="503"/>
      <c r="J6" s="92"/>
      <c r="K6" s="133" t="s">
        <v>6</v>
      </c>
      <c r="L6" s="504" t="s">
        <v>7</v>
      </c>
      <c r="M6" s="504"/>
      <c r="N6" s="504"/>
      <c r="O6" s="504"/>
      <c r="P6" s="504"/>
      <c r="Q6" s="429" t="s">
        <v>8</v>
      </c>
      <c r="R6" s="134">
        <v>3677000</v>
      </c>
    </row>
    <row r="7" spans="1:18" ht="13.2">
      <c r="A7" s="132"/>
      <c r="B7" s="132"/>
      <c r="C7" s="132"/>
      <c r="D7" s="132"/>
      <c r="E7" s="132"/>
      <c r="F7" s="132"/>
      <c r="G7" s="132"/>
      <c r="J7" s="92"/>
      <c r="K7" s="133"/>
      <c r="L7" s="504"/>
      <c r="M7" s="504"/>
      <c r="N7" s="504"/>
      <c r="O7" s="504"/>
      <c r="P7" s="504"/>
      <c r="Q7" s="429"/>
      <c r="R7" s="135"/>
    </row>
    <row r="8" spans="1:18" ht="18" customHeight="1">
      <c r="A8" s="132"/>
      <c r="B8" s="503" t="s">
        <v>9</v>
      </c>
      <c r="C8" s="503"/>
      <c r="D8" s="503"/>
      <c r="E8" s="503"/>
      <c r="F8" s="503"/>
      <c r="G8" s="503"/>
      <c r="H8" s="503"/>
      <c r="I8" s="503"/>
      <c r="J8" s="136"/>
      <c r="K8" s="133" t="s">
        <v>10</v>
      </c>
      <c r="L8" s="471" t="s">
        <v>11</v>
      </c>
      <c r="M8" s="471"/>
      <c r="N8" s="489"/>
      <c r="O8" s="489"/>
      <c r="P8" s="489"/>
      <c r="Q8" s="489"/>
      <c r="R8" s="135"/>
    </row>
    <row r="9" spans="1:18" ht="13.2">
      <c r="A9" s="132"/>
      <c r="B9" s="132"/>
      <c r="C9" s="132"/>
      <c r="D9" s="132"/>
      <c r="E9" s="132"/>
      <c r="F9" s="132"/>
      <c r="G9" s="132"/>
      <c r="J9" s="92"/>
      <c r="L9" s="132"/>
      <c r="M9" s="132"/>
      <c r="N9" s="132"/>
      <c r="O9" t="s">
        <v>12</v>
      </c>
      <c r="P9" s="137" t="s">
        <v>13</v>
      </c>
      <c r="Q9" s="429" t="s">
        <v>8</v>
      </c>
      <c r="R9" s="7">
        <v>78500</v>
      </c>
    </row>
    <row r="10" spans="1:18" ht="12.75" customHeight="1">
      <c r="A10" s="132"/>
      <c r="B10" s="490" t="s">
        <v>14</v>
      </c>
      <c r="C10" s="490"/>
      <c r="D10" s="490"/>
      <c r="E10" s="490"/>
      <c r="F10" s="490"/>
      <c r="G10" s="490"/>
      <c r="H10" s="490"/>
      <c r="I10" s="490"/>
      <c r="J10" s="491"/>
      <c r="K10" s="133"/>
      <c r="L10" s="138"/>
      <c r="M10" s="138"/>
      <c r="N10" s="138"/>
      <c r="O10" t="s">
        <v>15</v>
      </c>
      <c r="P10" s="137" t="s">
        <v>16</v>
      </c>
      <c r="Q10" s="429" t="s">
        <v>8</v>
      </c>
      <c r="R10" s="7"/>
    </row>
    <row r="11" spans="1:18" ht="12.75" customHeight="1">
      <c r="A11" s="132"/>
      <c r="B11" s="490"/>
      <c r="C11" s="490"/>
      <c r="D11" s="490"/>
      <c r="E11" s="490"/>
      <c r="F11" s="490"/>
      <c r="G11" s="490"/>
      <c r="H11" s="490"/>
      <c r="I11" s="490"/>
      <c r="J11" s="491"/>
      <c r="O11" t="s">
        <v>17</v>
      </c>
      <c r="P11" s="137" t="s">
        <v>18</v>
      </c>
      <c r="Q11" s="429" t="s">
        <v>8</v>
      </c>
      <c r="R11" s="7">
        <v>3101000</v>
      </c>
    </row>
    <row r="12" spans="1:18" ht="12.75" customHeight="1">
      <c r="A12" s="132"/>
      <c r="B12" s="132"/>
      <c r="C12" s="132"/>
      <c r="D12" s="476" t="s">
        <v>30</v>
      </c>
      <c r="E12" s="476"/>
      <c r="F12" s="476"/>
      <c r="G12" s="476"/>
      <c r="H12" s="476"/>
      <c r="J12" s="92"/>
      <c r="O12" t="s">
        <v>19</v>
      </c>
      <c r="P12" s="137" t="s">
        <v>20</v>
      </c>
      <c r="Q12" s="429" t="s">
        <v>8</v>
      </c>
      <c r="R12" s="7">
        <v>700000</v>
      </c>
    </row>
    <row r="13" spans="1:18" ht="12.75" customHeight="1">
      <c r="B13" s="506" t="s">
        <v>21</v>
      </c>
      <c r="C13" s="506"/>
      <c r="D13" s="507"/>
      <c r="E13" s="507"/>
      <c r="F13" s="507"/>
      <c r="G13" s="507"/>
      <c r="H13" s="507"/>
      <c r="I13" s="506"/>
      <c r="J13" s="92"/>
      <c r="O13" t="s">
        <v>22</v>
      </c>
      <c r="Q13" s="429" t="s">
        <v>8</v>
      </c>
      <c r="R13" s="134">
        <f>SUM(R9:R12)</f>
        <v>3879500</v>
      </c>
    </row>
    <row r="14" spans="1:18" ht="12.75" customHeight="1">
      <c r="J14" s="92"/>
      <c r="P14" s="137"/>
      <c r="Q14" s="429"/>
      <c r="R14" s="135"/>
    </row>
    <row r="15" spans="1:18" ht="12.75" customHeight="1">
      <c r="J15" s="92"/>
      <c r="L15" s="487" t="s">
        <v>23</v>
      </c>
      <c r="M15" s="487"/>
      <c r="N15" s="487"/>
      <c r="O15" s="482" t="s">
        <v>569</v>
      </c>
      <c r="P15" s="482"/>
      <c r="Q15" s="482"/>
      <c r="R15" s="482"/>
    </row>
    <row r="16" spans="1:18" ht="12.75" customHeight="1">
      <c r="A16" s="409"/>
      <c r="B16" s="488" t="s">
        <v>24</v>
      </c>
      <c r="C16" s="488"/>
      <c r="D16" s="488"/>
      <c r="E16" s="488"/>
      <c r="F16" s="488"/>
      <c r="G16" s="488"/>
      <c r="H16" s="488"/>
      <c r="I16" s="488"/>
      <c r="J16" s="92"/>
      <c r="L16" t="s">
        <v>25</v>
      </c>
      <c r="M16" s="502">
        <v>5207223643</v>
      </c>
      <c r="N16" s="502"/>
      <c r="O16" s="429" t="s">
        <v>26</v>
      </c>
      <c r="P16" s="483" t="s">
        <v>560</v>
      </c>
      <c r="Q16" s="483"/>
      <c r="R16" s="483"/>
    </row>
    <row r="17" spans="1:21" ht="12.75" customHeight="1">
      <c r="J17" s="92"/>
      <c r="P17" s="137"/>
      <c r="Q17" s="429"/>
      <c r="R17" s="135"/>
    </row>
    <row r="18" spans="1:21" ht="12.75" customHeight="1">
      <c r="J18" s="92"/>
      <c r="L18" s="487" t="s">
        <v>27</v>
      </c>
      <c r="M18" s="487"/>
      <c r="N18" s="487"/>
      <c r="O18" s="487"/>
      <c r="P18" s="487"/>
      <c r="Q18" s="487"/>
      <c r="R18" s="487"/>
    </row>
    <row r="19" spans="1:21" ht="12.75" customHeight="1">
      <c r="B19" s="488" t="s">
        <v>28</v>
      </c>
      <c r="C19" s="488"/>
      <c r="D19" s="488"/>
      <c r="E19" s="488"/>
      <c r="F19" s="488"/>
      <c r="G19" s="488"/>
      <c r="H19" s="488"/>
      <c r="I19" s="488"/>
      <c r="J19" s="92"/>
      <c r="L19" s="487" t="s">
        <v>29</v>
      </c>
      <c r="M19" s="487"/>
      <c r="N19" s="487"/>
      <c r="O19" s="487"/>
      <c r="P19" s="505">
        <v>45456</v>
      </c>
      <c r="Q19" s="505"/>
      <c r="R19" s="505"/>
    </row>
    <row r="20" spans="1:21" ht="12.75" customHeight="1">
      <c r="C20" s="487" t="s">
        <v>30</v>
      </c>
      <c r="D20" s="487"/>
      <c r="F20" s="505">
        <v>45455</v>
      </c>
      <c r="G20" s="505"/>
      <c r="H20" s="505"/>
      <c r="I20" s="139" t="str">
        <f>IF(AND(ISNUMBER(SEARCH("Proposed*",D12)),F20=""),"Please enter a Proposed Date","")</f>
        <v/>
      </c>
      <c r="J20" s="92"/>
      <c r="L20" s="473" t="s">
        <v>31</v>
      </c>
      <c r="M20" s="473"/>
      <c r="N20" s="473"/>
      <c r="O20" s="473"/>
      <c r="P20" s="475" t="s">
        <v>32</v>
      </c>
      <c r="Q20" s="475"/>
      <c r="R20" s="475"/>
    </row>
    <row r="21" spans="1:21" ht="12.75" customHeight="1">
      <c r="C21" s="487" t="s">
        <v>33</v>
      </c>
      <c r="D21" s="487"/>
      <c r="F21" s="480"/>
      <c r="G21" s="480"/>
      <c r="H21" s="480"/>
      <c r="I21" s="139" t="str">
        <f>IF(AND(ISNUMBER(SEARCH("Adopted*",D12)),F21=""),"Please enter an Adopted Date","")</f>
        <v/>
      </c>
      <c r="J21" s="92"/>
      <c r="L21" s="501"/>
      <c r="M21" s="501"/>
      <c r="N21" s="501"/>
      <c r="O21" s="501"/>
      <c r="P21" s="501"/>
      <c r="Q21" s="501"/>
      <c r="R21" s="501"/>
    </row>
    <row r="22" spans="1:21" ht="12.75" customHeight="1">
      <c r="A22" s="409"/>
      <c r="C22" s="487" t="s">
        <v>34</v>
      </c>
      <c r="D22" s="487"/>
      <c r="F22" s="480"/>
      <c r="G22" s="480"/>
      <c r="H22" s="480"/>
      <c r="I22" s="140" t="str">
        <f>IF(AND(ISNUMBER(SEARCH("Revised*",D12)),F22=""),"Please enter a Revised Date","")</f>
        <v/>
      </c>
      <c r="J22" s="141"/>
      <c r="L22" s="476"/>
      <c r="M22" s="476"/>
      <c r="N22" s="476"/>
      <c r="O22" s="142"/>
      <c r="P22" s="476"/>
      <c r="Q22" s="476"/>
      <c r="R22" s="476"/>
    </row>
    <row r="23" spans="1:21" ht="12.75" customHeight="1">
      <c r="F23" s="475" t="s">
        <v>35</v>
      </c>
      <c r="G23" s="475"/>
      <c r="H23" s="475"/>
      <c r="J23" s="92"/>
      <c r="L23" s="475" t="s">
        <v>36</v>
      </c>
      <c r="M23" s="475"/>
      <c r="N23" s="475"/>
      <c r="O23" s="143"/>
      <c r="P23" s="475" t="s">
        <v>36</v>
      </c>
      <c r="Q23" s="475"/>
      <c r="R23" s="475"/>
      <c r="S23" s="144"/>
      <c r="T23" s="144"/>
      <c r="U23" s="144"/>
    </row>
    <row r="24" spans="1:21" ht="12.75" customHeight="1">
      <c r="B24" s="40"/>
      <c r="E24" s="145"/>
      <c r="J24" s="92"/>
    </row>
    <row r="25" spans="1:21" ht="12.75" customHeight="1">
      <c r="A25" s="477"/>
      <c r="B25" s="477"/>
      <c r="C25" s="477"/>
      <c r="D25" s="477"/>
      <c r="E25" s="477"/>
      <c r="F25" s="477"/>
      <c r="G25" s="477"/>
      <c r="H25" s="477"/>
      <c r="I25" s="477"/>
      <c r="J25" s="478"/>
      <c r="L25" s="473" t="str">
        <f>IF(OR(L26="",P26=""),"Please enter typed school official names","")</f>
        <v/>
      </c>
      <c r="M25" s="473"/>
      <c r="N25" s="473"/>
      <c r="O25" s="473"/>
      <c r="P25" s="473"/>
      <c r="Q25" s="473"/>
      <c r="R25" s="473"/>
      <c r="U25" s="146"/>
    </row>
    <row r="26" spans="1:21" ht="12.75" customHeight="1">
      <c r="A26" s="477"/>
      <c r="B26" s="477"/>
      <c r="C26" s="477"/>
      <c r="D26" s="477"/>
      <c r="E26" s="477"/>
      <c r="F26" s="477"/>
      <c r="G26" s="477"/>
      <c r="H26" s="477"/>
      <c r="I26" s="477"/>
      <c r="J26" s="478"/>
      <c r="L26" s="476" t="s">
        <v>559</v>
      </c>
      <c r="M26" s="476"/>
      <c r="N26" s="476"/>
      <c r="O26" s="143"/>
      <c r="P26" s="476" t="s">
        <v>568</v>
      </c>
      <c r="Q26" s="476"/>
      <c r="R26" s="476"/>
    </row>
    <row r="27" spans="1:21" ht="12.75" customHeight="1">
      <c r="A27" s="477"/>
      <c r="B27" s="477"/>
      <c r="C27" s="477"/>
      <c r="D27" s="477"/>
      <c r="E27" s="477"/>
      <c r="F27" s="477"/>
      <c r="G27" s="477"/>
      <c r="H27" s="477"/>
      <c r="I27" s="477"/>
      <c r="J27" s="478"/>
      <c r="L27" s="475" t="s">
        <v>37</v>
      </c>
      <c r="M27" s="475"/>
      <c r="N27" s="475"/>
      <c r="O27" s="143"/>
      <c r="P27" s="475" t="s">
        <v>37</v>
      </c>
      <c r="Q27" s="475"/>
      <c r="R27" s="475"/>
    </row>
    <row r="28" spans="1:21" ht="12.75" customHeight="1">
      <c r="B28" s="409"/>
      <c r="C28" s="40"/>
      <c r="D28" s="40"/>
      <c r="F28" s="409"/>
      <c r="G28" s="147"/>
      <c r="H28" s="132"/>
      <c r="I28" s="132"/>
      <c r="J28" s="136"/>
    </row>
    <row r="29" spans="1:21" ht="12.75" customHeight="1">
      <c r="A29" s="476"/>
      <c r="B29" s="476"/>
      <c r="C29" s="476"/>
      <c r="D29" s="476"/>
      <c r="E29" s="476"/>
      <c r="F29" s="409"/>
      <c r="G29" s="474" t="s">
        <v>561</v>
      </c>
      <c r="H29" s="474"/>
      <c r="I29" s="474"/>
      <c r="J29" s="136"/>
      <c r="L29" s="471" t="s">
        <v>38</v>
      </c>
      <c r="M29" s="471"/>
      <c r="N29" s="472"/>
      <c r="O29" s="472"/>
      <c r="P29" s="472"/>
      <c r="Q29" s="472"/>
      <c r="R29" s="472"/>
      <c r="S29" s="471"/>
    </row>
    <row r="30" spans="1:21" ht="12.75" customHeight="1" thickBot="1">
      <c r="H30" s="132"/>
      <c r="I30" s="132"/>
      <c r="J30" s="136"/>
      <c r="L30" s="473" t="str">
        <f>IF((BudgetYearSalary)=0,"Average teacher salary information is not complete.",IF(AND((PriorYearSalary)=0,(L31)=""),"Average teacher salary information is not complete.",""))</f>
        <v/>
      </c>
      <c r="M30" s="473"/>
      <c r="N30" s="473"/>
      <c r="O30" s="473"/>
      <c r="P30" s="473"/>
      <c r="Q30" s="473"/>
      <c r="R30" s="473"/>
      <c r="S30" s="3"/>
    </row>
    <row r="31" spans="1:21" ht="12.75" customHeight="1" thickBot="1">
      <c r="A31" s="476"/>
      <c r="B31" s="476"/>
      <c r="C31" s="476"/>
      <c r="D31" s="476"/>
      <c r="E31" s="476"/>
      <c r="F31" s="409"/>
      <c r="G31" s="474" t="s">
        <v>562</v>
      </c>
      <c r="H31" s="474"/>
      <c r="I31" s="474"/>
      <c r="J31" s="92"/>
      <c r="L31" s="31"/>
      <c r="M31" s="148" t="s">
        <v>39</v>
      </c>
      <c r="N31" s="95"/>
      <c r="O31" s="95"/>
      <c r="P31" s="95"/>
      <c r="Q31" s="95"/>
      <c r="R31" s="95"/>
    </row>
    <row r="32" spans="1:21" ht="12.75" customHeight="1">
      <c r="J32" s="92"/>
      <c r="L32" s="148" t="s">
        <v>40</v>
      </c>
      <c r="M32" s="149"/>
      <c r="N32" s="149"/>
      <c r="O32" s="150"/>
      <c r="P32" s="150"/>
      <c r="Q32" s="429" t="s">
        <v>8</v>
      </c>
      <c r="R32" s="23">
        <v>55000</v>
      </c>
      <c r="S32" s="151" t="str">
        <f>IF(OR(BudgetYearSalary=0,PriorYearSalary=0),1/ERROR,"")</f>
        <v/>
      </c>
    </row>
    <row r="33" spans="1:18" ht="12.75" customHeight="1">
      <c r="A33" s="476"/>
      <c r="B33" s="476"/>
      <c r="C33" s="476"/>
      <c r="D33" s="476"/>
      <c r="E33" s="476"/>
      <c r="F33" s="409"/>
      <c r="G33" s="474" t="s">
        <v>563</v>
      </c>
      <c r="H33" s="474"/>
      <c r="I33" s="474"/>
      <c r="J33" s="92"/>
      <c r="L33" s="148" t="s">
        <v>41</v>
      </c>
      <c r="O33" s="150"/>
      <c r="P33" s="150"/>
      <c r="Q33" s="429" t="s">
        <v>8</v>
      </c>
      <c r="R33" s="7">
        <v>53000</v>
      </c>
    </row>
    <row r="34" spans="1:18" ht="12.75" customHeight="1">
      <c r="J34" s="92"/>
      <c r="L34" s="148" t="s">
        <v>42</v>
      </c>
      <c r="O34" s="150"/>
      <c r="P34" s="150"/>
      <c r="Q34" s="429" t="s">
        <v>8</v>
      </c>
      <c r="R34" s="134">
        <f>R32-R33</f>
        <v>2000</v>
      </c>
    </row>
    <row r="35" spans="1:18" ht="12.75" customHeight="1">
      <c r="A35" s="476"/>
      <c r="B35" s="476"/>
      <c r="C35" s="476"/>
      <c r="D35" s="476"/>
      <c r="E35" s="476"/>
      <c r="F35" s="409"/>
      <c r="G35" s="474"/>
      <c r="H35" s="474"/>
      <c r="I35" s="474"/>
      <c r="J35" s="92"/>
      <c r="L35" s="148" t="s">
        <v>43</v>
      </c>
      <c r="Q35" s="429"/>
      <c r="R35" s="152">
        <f>IF(PriorYearSalary&gt;0,R34/R33,0)</f>
        <v>3.7999999999999999E-2</v>
      </c>
    </row>
    <row r="36" spans="1:18" ht="12.75" customHeight="1">
      <c r="D36" s="132"/>
      <c r="E36" s="132"/>
      <c r="F36" s="132"/>
      <c r="G36" s="132"/>
      <c r="J36" s="92"/>
      <c r="L36" s="492" t="s">
        <v>44</v>
      </c>
      <c r="M36" s="493"/>
      <c r="N36" s="493"/>
      <c r="O36" s="493"/>
      <c r="P36" s="493"/>
      <c r="Q36" s="493"/>
      <c r="R36" s="494"/>
    </row>
    <row r="37" spans="1:18" ht="12.75" customHeight="1">
      <c r="A37" s="476"/>
      <c r="B37" s="476"/>
      <c r="C37" s="476"/>
      <c r="D37" s="476"/>
      <c r="E37" s="476"/>
      <c r="F37" s="409"/>
      <c r="G37" s="474"/>
      <c r="H37" s="474"/>
      <c r="I37" s="474"/>
      <c r="K37" s="54"/>
      <c r="L37" s="495"/>
      <c r="M37" s="496"/>
      <c r="N37" s="496"/>
      <c r="O37" s="496"/>
      <c r="P37" s="496"/>
      <c r="Q37" s="496"/>
      <c r="R37" s="497"/>
    </row>
    <row r="38" spans="1:18" ht="12.75" customHeight="1">
      <c r="D38" s="132"/>
      <c r="E38" s="132"/>
      <c r="F38" s="132"/>
      <c r="G38" s="132"/>
      <c r="K38" s="54"/>
      <c r="L38" s="495"/>
      <c r="M38" s="496"/>
      <c r="N38" s="496"/>
      <c r="O38" s="496"/>
      <c r="P38" s="496"/>
      <c r="Q38" s="496"/>
      <c r="R38" s="497"/>
    </row>
    <row r="39" spans="1:18" ht="12.75" customHeight="1">
      <c r="A39" s="476"/>
      <c r="B39" s="476"/>
      <c r="C39" s="476"/>
      <c r="D39" s="476"/>
      <c r="E39" s="476"/>
      <c r="F39" s="409"/>
      <c r="G39" s="474"/>
      <c r="H39" s="474"/>
      <c r="I39" s="474"/>
      <c r="K39" s="54"/>
      <c r="L39" s="495"/>
      <c r="M39" s="496"/>
      <c r="N39" s="496"/>
      <c r="O39" s="496"/>
      <c r="P39" s="496"/>
      <c r="Q39" s="496"/>
      <c r="R39" s="497"/>
    </row>
    <row r="40" spans="1:18" ht="12.75" customHeight="1">
      <c r="D40" s="132"/>
      <c r="E40" s="132"/>
      <c r="F40" s="132"/>
      <c r="G40" s="132"/>
      <c r="K40" s="54"/>
      <c r="L40" s="495"/>
      <c r="M40" s="496"/>
      <c r="N40" s="496"/>
      <c r="O40" s="496"/>
      <c r="P40" s="496"/>
      <c r="Q40" s="496"/>
      <c r="R40" s="497"/>
    </row>
    <row r="41" spans="1:18" ht="12.75" customHeight="1">
      <c r="A41" s="476"/>
      <c r="B41" s="476"/>
      <c r="C41" s="476"/>
      <c r="D41" s="476"/>
      <c r="E41" s="476"/>
      <c r="F41" s="409"/>
      <c r="G41" s="474"/>
      <c r="H41" s="474"/>
      <c r="I41" s="474"/>
      <c r="K41" s="54"/>
      <c r="L41" s="495"/>
      <c r="M41" s="496"/>
      <c r="N41" s="496"/>
      <c r="O41" s="496"/>
      <c r="P41" s="496"/>
      <c r="Q41" s="496"/>
      <c r="R41" s="497"/>
    </row>
    <row r="42" spans="1:18" ht="12.75" customHeight="1">
      <c r="A42" s="475" t="s">
        <v>45</v>
      </c>
      <c r="B42" s="475"/>
      <c r="C42" s="475"/>
      <c r="D42" s="475"/>
      <c r="E42" s="475"/>
      <c r="F42" s="153"/>
      <c r="G42" s="475" t="s">
        <v>46</v>
      </c>
      <c r="H42" s="475"/>
      <c r="I42" s="475"/>
      <c r="K42" s="54"/>
      <c r="L42" s="498"/>
      <c r="M42" s="499"/>
      <c r="N42" s="499"/>
      <c r="O42" s="499"/>
      <c r="P42" s="499"/>
      <c r="Q42" s="499"/>
      <c r="R42" s="500"/>
    </row>
  </sheetData>
  <sheetProtection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P26:R26"/>
    <mergeCell ref="A27:J27"/>
    <mergeCell ref="F23:H23"/>
  </mergeCells>
  <dataValidations count="9">
    <dataValidation type="list" allowBlank="1" showErrorMessage="1" errorTitle="Invalid Entry" error="Please select the budget version from the drop down list." sqref="D12:H12" xr:uid="{00000000-0002-0000-0000-000000000000}">
      <formula1>"Proposed, Adopted"</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scale="76" orientation="landscape" r:id="rId1"/>
  <headerFooter>
    <oddFooter>&amp;L&amp;"Arial,Bold"Rev. 5/24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opLeftCell="A63" zoomScaleSheetLayoutView="100" workbookViewId="0">
      <selection activeCell="L9" sqref="L9"/>
    </sheetView>
  </sheetViews>
  <sheetFormatPr defaultColWidth="11" defaultRowHeight="11.4"/>
  <cols>
    <col min="1" max="1" width="3.44140625" style="38" customWidth="1"/>
    <col min="2" max="2" width="2.44140625" style="38" customWidth="1"/>
    <col min="3" max="3" width="4" style="38" customWidth="1"/>
    <col min="4" max="4" width="4.44140625" style="38" customWidth="1"/>
    <col min="5" max="5" width="7.5546875" style="38" customWidth="1"/>
    <col min="6" max="7" width="11" style="38" customWidth="1"/>
    <col min="8" max="9" width="11.5546875" style="38" customWidth="1"/>
    <col min="10" max="10" width="12.5546875" style="38" customWidth="1"/>
    <col min="11" max="11" width="2.5546875" style="38" customWidth="1"/>
    <col min="12" max="12" width="14" style="38" customWidth="1"/>
    <col min="13" max="13" width="1.5546875" style="38" customWidth="1"/>
    <col min="14" max="14" width="14.5546875" style="38" customWidth="1"/>
    <col min="15" max="15" width="11" style="38" customWidth="1"/>
    <col min="16" max="16" width="7.5546875" style="38" customWidth="1"/>
    <col min="17" max="18" width="11" style="38" customWidth="1"/>
    <col min="19" max="19" width="7.44140625" style="38" customWidth="1"/>
    <col min="20" max="22" width="11" style="38" customWidth="1"/>
    <col min="23" max="23" width="7.44140625" style="38" customWidth="1"/>
    <col min="24" max="26" width="11" style="38" customWidth="1"/>
    <col min="27" max="27" width="7.44140625" style="38" customWidth="1"/>
    <col min="28" max="31" width="11" style="38" customWidth="1"/>
    <col min="32" max="16384" width="11" style="38"/>
  </cols>
  <sheetData>
    <row r="1" spans="1:15" ht="15.75" customHeight="1">
      <c r="A1" s="629" t="s">
        <v>0</v>
      </c>
      <c r="B1" s="629"/>
      <c r="C1" s="629"/>
      <c r="D1" s="629"/>
      <c r="E1" s="531" t="str">
        <f>CharterName</f>
        <v>Nosotros Academy</v>
      </c>
      <c r="F1" s="531"/>
      <c r="G1" s="531"/>
      <c r="H1" s="429" t="s">
        <v>1</v>
      </c>
      <c r="I1" s="430" t="str">
        <f>Cover!M1</f>
        <v>Pima</v>
      </c>
      <c r="J1" s="629" t="s">
        <v>2</v>
      </c>
      <c r="K1" s="629"/>
      <c r="L1" s="532" t="str">
        <f>CTD</f>
        <v>108707000</v>
      </c>
      <c r="M1" s="532"/>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1" t="s">
        <v>381</v>
      </c>
      <c r="B5" s="36"/>
      <c r="C5" s="40"/>
      <c r="D5" s="40"/>
      <c r="E5" s="40"/>
      <c r="F5" s="40"/>
      <c r="G5" s="40"/>
      <c r="H5" s="40"/>
      <c r="I5" s="39"/>
      <c r="J5" s="36"/>
      <c r="K5" s="36"/>
      <c r="L5" s="37"/>
      <c r="M5" s="37"/>
      <c r="N5" s="36"/>
      <c r="O5" s="37"/>
    </row>
    <row r="6" spans="1:15" ht="15.75" customHeight="1">
      <c r="A6" s="1"/>
      <c r="B6" s="36"/>
      <c r="C6" s="41" t="s">
        <v>382</v>
      </c>
      <c r="D6" s="42"/>
      <c r="E6" s="42"/>
      <c r="F6" s="42"/>
      <c r="G6" s="42"/>
      <c r="H6" s="42"/>
      <c r="I6" s="43"/>
      <c r="J6" s="44"/>
      <c r="K6" s="44"/>
      <c r="L6" s="45"/>
      <c r="M6" s="45"/>
      <c r="N6" s="44"/>
      <c r="O6" s="37"/>
    </row>
    <row r="7" spans="1:15" ht="15.75" customHeight="1" thickBot="1">
      <c r="A7" s="36"/>
      <c r="B7" s="36"/>
      <c r="C7" s="46" t="s">
        <v>383</v>
      </c>
      <c r="D7" s="46"/>
      <c r="E7" s="47"/>
      <c r="F7" s="47"/>
      <c r="G7" s="47"/>
      <c r="H7" s="47"/>
      <c r="I7" s="48"/>
      <c r="J7" s="49"/>
      <c r="K7" s="50"/>
      <c r="L7" s="51" t="s">
        <v>326</v>
      </c>
      <c r="M7" s="52"/>
      <c r="N7" s="53" t="s">
        <v>327</v>
      </c>
      <c r="O7" s="37"/>
    </row>
    <row r="8" spans="1:15" ht="15.75" customHeight="1" thickTop="1">
      <c r="A8" s="36"/>
      <c r="B8" s="36"/>
      <c r="C8" s="54" t="s">
        <v>384</v>
      </c>
      <c r="D8"/>
      <c r="E8"/>
      <c r="F8" s="55"/>
      <c r="G8" s="55"/>
      <c r="H8" s="55"/>
      <c r="I8" s="39"/>
      <c r="J8" s="36"/>
      <c r="K8" s="56"/>
      <c r="L8"/>
      <c r="M8" s="54"/>
      <c r="N8" s="57"/>
      <c r="O8" s="37"/>
    </row>
    <row r="9" spans="1:15" ht="15.75" customHeight="1" thickBot="1">
      <c r="A9" s="36"/>
      <c r="B9" s="36"/>
      <c r="C9" s="58"/>
      <c r="D9" s="59" t="s">
        <v>385</v>
      </c>
      <c r="E9" s="59"/>
      <c r="F9" s="59"/>
      <c r="G9" s="59"/>
      <c r="H9" s="59"/>
      <c r="I9" s="60"/>
      <c r="J9" s="61"/>
      <c r="K9" s="62"/>
      <c r="L9" s="63">
        <v>1.399</v>
      </c>
      <c r="M9" s="64"/>
      <c r="N9" s="65">
        <v>1.5589999999999999</v>
      </c>
      <c r="O9" s="37"/>
    </row>
    <row r="10" spans="1:15" ht="15.75" customHeight="1" thickTop="1">
      <c r="A10" s="36"/>
      <c r="B10" s="36"/>
      <c r="C10" s="66" t="s">
        <v>386</v>
      </c>
      <c r="D10"/>
      <c r="E10"/>
      <c r="F10" s="67"/>
      <c r="G10" s="67"/>
      <c r="H10" s="67"/>
      <c r="I10" s="39"/>
      <c r="J10" s="36"/>
      <c r="K10" s="68"/>
      <c r="L10" s="69"/>
      <c r="M10" s="54"/>
      <c r="N10" s="70"/>
      <c r="O10" s="37"/>
    </row>
    <row r="11" spans="1:15" ht="15.75" customHeight="1">
      <c r="A11" s="36"/>
      <c r="B11" s="36"/>
      <c r="C11" s="54"/>
      <c r="D11" t="s">
        <v>387</v>
      </c>
      <c r="E11"/>
      <c r="F11"/>
      <c r="G11"/>
      <c r="H11"/>
      <c r="I11" s="39"/>
      <c r="J11" s="36"/>
      <c r="K11" s="424"/>
      <c r="L11" s="71">
        <v>500</v>
      </c>
      <c r="M11" s="72"/>
      <c r="N11" s="73">
        <v>500</v>
      </c>
      <c r="O11" s="37"/>
    </row>
    <row r="12" spans="1:15" ht="15.75" customHeight="1">
      <c r="A12" s="36"/>
      <c r="B12" s="36"/>
      <c r="C12" s="54"/>
      <c r="D12" t="s">
        <v>388</v>
      </c>
      <c r="E12"/>
      <c r="F12"/>
      <c r="G12"/>
      <c r="H12"/>
      <c r="I12" s="39"/>
      <c r="J12" s="36"/>
      <c r="K12" s="424" t="s">
        <v>389</v>
      </c>
      <c r="L12" s="74">
        <f>IF('Data Entry'!I20&gt;99.999,IF('Data Entry'!I20&lt;500,'Data Entry'!I20,0),0)</f>
        <v>135</v>
      </c>
      <c r="M12" s="424" t="s">
        <v>389</v>
      </c>
      <c r="N12" s="75">
        <f>IF('Data Entry'!L20&gt;99.999,IF('Data Entry'!L20&lt;500,'Data Entry'!L20,0),0)</f>
        <v>135</v>
      </c>
      <c r="O12" s="37"/>
    </row>
    <row r="13" spans="1:15" ht="15.75" customHeight="1">
      <c r="A13" s="36"/>
      <c r="B13" s="36"/>
      <c r="C13" s="54"/>
      <c r="D13" t="s">
        <v>390</v>
      </c>
      <c r="E13"/>
      <c r="F13"/>
      <c r="G13"/>
      <c r="H13"/>
      <c r="I13" s="39"/>
      <c r="J13" s="36"/>
      <c r="K13" s="76" t="s">
        <v>333</v>
      </c>
      <c r="L13" s="74">
        <f>IF(L12&gt;0,ROUND(+L11-L12,4),0)</f>
        <v>365</v>
      </c>
      <c r="M13" s="77" t="s">
        <v>333</v>
      </c>
      <c r="N13" s="75">
        <f>IF(N12&gt;0,ROUND(+N11-N12,4),0)</f>
        <v>365</v>
      </c>
      <c r="O13" s="37"/>
    </row>
    <row r="14" spans="1:15" ht="15.75" customHeight="1">
      <c r="A14" s="36"/>
      <c r="B14" s="36"/>
      <c r="C14" s="54"/>
      <c r="D14" t="s">
        <v>391</v>
      </c>
      <c r="E14"/>
      <c r="F14"/>
      <c r="G14"/>
      <c r="H14"/>
      <c r="I14" s="39"/>
      <c r="J14" s="36"/>
      <c r="K14" s="76" t="s">
        <v>299</v>
      </c>
      <c r="L14" s="74">
        <v>2.9999999999999997E-4</v>
      </c>
      <c r="M14" s="76" t="s">
        <v>299</v>
      </c>
      <c r="N14" s="75">
        <v>4.0000000000000002E-4</v>
      </c>
      <c r="O14" s="37"/>
    </row>
    <row r="15" spans="1:15" ht="15.75" customHeight="1">
      <c r="A15" s="36"/>
      <c r="B15" s="36"/>
      <c r="C15" s="54"/>
      <c r="D15" t="s">
        <v>392</v>
      </c>
      <c r="E15"/>
      <c r="F15"/>
      <c r="G15"/>
      <c r="H15"/>
      <c r="I15" s="39"/>
      <c r="J15" s="36"/>
      <c r="K15" s="76" t="s">
        <v>333</v>
      </c>
      <c r="L15" s="74">
        <f>IF(L12&gt;0,ROUND(L13*L14,4),0)</f>
        <v>0.1095</v>
      </c>
      <c r="M15" s="424" t="s">
        <v>333</v>
      </c>
      <c r="N15" s="75">
        <f>IF(N12&gt;0,ROUND(N13*N14,4),0)</f>
        <v>0.14599999999999999</v>
      </c>
      <c r="O15" s="37"/>
    </row>
    <row r="16" spans="1:15" ht="15.75" customHeight="1">
      <c r="A16" s="36"/>
      <c r="B16" s="36"/>
      <c r="C16" s="54"/>
      <c r="D16" t="s">
        <v>393</v>
      </c>
      <c r="E16"/>
      <c r="F16"/>
      <c r="G16"/>
      <c r="H16"/>
      <c r="I16" s="39"/>
      <c r="J16" s="36"/>
      <c r="K16" s="76" t="s">
        <v>330</v>
      </c>
      <c r="L16" s="74">
        <v>1.278</v>
      </c>
      <c r="M16" s="76" t="s">
        <v>330</v>
      </c>
      <c r="N16" s="75">
        <v>1.3979999999999999</v>
      </c>
      <c r="O16" s="37"/>
    </row>
    <row r="17" spans="1:15" ht="15.75" customHeight="1" thickBot="1">
      <c r="A17" s="36"/>
      <c r="B17" s="36"/>
      <c r="C17" s="58"/>
      <c r="D17" s="59" t="s">
        <v>394</v>
      </c>
      <c r="E17" s="59"/>
      <c r="F17" s="59"/>
      <c r="G17" s="59"/>
      <c r="H17" s="59"/>
      <c r="I17" s="60"/>
      <c r="J17" s="61"/>
      <c r="K17" s="78" t="s">
        <v>333</v>
      </c>
      <c r="L17" s="79">
        <f>IF(L12&gt;0,ROUND(+L15+L16,4),0)</f>
        <v>1.3875</v>
      </c>
      <c r="M17" s="64" t="s">
        <v>333</v>
      </c>
      <c r="N17" s="80">
        <f>IF(N12&gt;0,ROUND(+N15+N16,4),0)</f>
        <v>1.544</v>
      </c>
      <c r="O17" s="37"/>
    </row>
    <row r="18" spans="1:15" ht="15.75" customHeight="1" thickTop="1">
      <c r="A18" s="36"/>
      <c r="B18" s="36"/>
      <c r="C18" s="66" t="s">
        <v>395</v>
      </c>
      <c r="D18"/>
      <c r="E18"/>
      <c r="F18" s="67"/>
      <c r="G18" s="67"/>
      <c r="H18" s="67"/>
      <c r="I18" s="39"/>
      <c r="J18" s="36"/>
      <c r="K18" s="68"/>
      <c r="L18" s="81"/>
      <c r="M18" s="54"/>
      <c r="N18" s="70"/>
      <c r="O18" s="37"/>
    </row>
    <row r="19" spans="1:15" ht="15.75" customHeight="1">
      <c r="A19" s="36"/>
      <c r="B19" s="36"/>
      <c r="C19" s="54"/>
      <c r="D19" t="s">
        <v>387</v>
      </c>
      <c r="E19"/>
      <c r="F19"/>
      <c r="G19"/>
      <c r="H19"/>
      <c r="I19" s="39"/>
      <c r="J19" s="36"/>
      <c r="K19" s="54"/>
      <c r="L19" s="82">
        <v>600</v>
      </c>
      <c r="M19" s="72"/>
      <c r="N19" s="75">
        <v>600</v>
      </c>
      <c r="O19" s="37"/>
    </row>
    <row r="20" spans="1:15" ht="15.75" customHeight="1">
      <c r="A20" s="36"/>
      <c r="B20" s="36"/>
      <c r="C20" s="54"/>
      <c r="D20" t="s">
        <v>388</v>
      </c>
      <c r="E20"/>
      <c r="F20"/>
      <c r="G20"/>
      <c r="H20"/>
      <c r="I20" s="39"/>
      <c r="J20" s="36"/>
      <c r="K20" s="427" t="s">
        <v>389</v>
      </c>
      <c r="L20" s="74">
        <f>IF('Data Entry'!I20&gt;499.999,IF('Data Entry'!I20&lt;600,'Data Entry'!I20,0),0)</f>
        <v>0</v>
      </c>
      <c r="M20" s="424" t="s">
        <v>389</v>
      </c>
      <c r="N20" s="75">
        <f>IF('Data Entry'!L20&gt;499.999,IF('Data Entry'!L20&lt;600,'Data Entry'!L20,0),0)</f>
        <v>0</v>
      </c>
      <c r="O20" s="37"/>
    </row>
    <row r="21" spans="1:15" ht="15.75" customHeight="1">
      <c r="A21" s="36"/>
      <c r="B21" s="36"/>
      <c r="C21" s="54"/>
      <c r="D21" t="s">
        <v>390</v>
      </c>
      <c r="E21"/>
      <c r="F21"/>
      <c r="G21"/>
      <c r="H21"/>
      <c r="I21" s="39"/>
      <c r="J21" s="36"/>
      <c r="K21" s="83" t="s">
        <v>333</v>
      </c>
      <c r="L21" s="74">
        <f>IF(L20&gt;0,ROUND(+L19-L20,4),0)</f>
        <v>0</v>
      </c>
      <c r="M21" s="77" t="s">
        <v>333</v>
      </c>
      <c r="N21" s="75">
        <f>IF(N20&gt;0,ROUND(+N19-N20,4),0)</f>
        <v>0</v>
      </c>
      <c r="O21" s="37"/>
    </row>
    <row r="22" spans="1:15" ht="15.75" customHeight="1">
      <c r="A22" s="36"/>
      <c r="B22" s="36"/>
      <c r="C22" s="54"/>
      <c r="D22" t="s">
        <v>391</v>
      </c>
      <c r="E22"/>
      <c r="F22"/>
      <c r="G22"/>
      <c r="H22"/>
      <c r="I22" s="39"/>
      <c r="J22" s="36"/>
      <c r="K22" s="427" t="s">
        <v>299</v>
      </c>
      <c r="L22" s="74">
        <v>1.1999999999999999E-3</v>
      </c>
      <c r="M22" s="76" t="s">
        <v>299</v>
      </c>
      <c r="N22" s="75">
        <v>1.2999999999999999E-3</v>
      </c>
      <c r="O22" s="37"/>
    </row>
    <row r="23" spans="1:15" ht="15.75" customHeight="1">
      <c r="A23" s="36"/>
      <c r="B23" s="36"/>
      <c r="C23" s="54"/>
      <c r="D23" t="s">
        <v>392</v>
      </c>
      <c r="E23"/>
      <c r="F23"/>
      <c r="G23"/>
      <c r="H23"/>
      <c r="I23" s="39"/>
      <c r="J23" s="36"/>
      <c r="K23" s="83" t="s">
        <v>333</v>
      </c>
      <c r="L23" s="74">
        <f>IF(L20&gt;0,ROUND(L21*L22,4),0)</f>
        <v>0</v>
      </c>
      <c r="M23" s="424" t="s">
        <v>333</v>
      </c>
      <c r="N23" s="75">
        <f>IF(N20&gt;0,ROUND(N21*N22,4),0)</f>
        <v>0</v>
      </c>
      <c r="O23" s="37"/>
    </row>
    <row r="24" spans="1:15" ht="15.75" customHeight="1">
      <c r="A24" s="36"/>
      <c r="B24" s="36"/>
      <c r="C24" s="54"/>
      <c r="D24" t="s">
        <v>393</v>
      </c>
      <c r="E24"/>
      <c r="F24"/>
      <c r="G24"/>
      <c r="H24"/>
      <c r="I24" s="39"/>
      <c r="J24" s="36"/>
      <c r="K24" s="427" t="s">
        <v>330</v>
      </c>
      <c r="L24" s="74">
        <v>1.1579999999999999</v>
      </c>
      <c r="M24" s="424" t="s">
        <v>330</v>
      </c>
      <c r="N24" s="75">
        <v>1.268</v>
      </c>
      <c r="O24" s="37"/>
    </row>
    <row r="25" spans="1:15" ht="15.75" customHeight="1" thickBot="1">
      <c r="A25" s="36"/>
      <c r="B25" s="36"/>
      <c r="C25" s="58"/>
      <c r="D25" s="59" t="s">
        <v>394</v>
      </c>
      <c r="E25" s="59"/>
      <c r="F25" s="59"/>
      <c r="G25" s="59"/>
      <c r="H25" s="59"/>
      <c r="I25" s="60"/>
      <c r="J25" s="61"/>
      <c r="K25" s="84" t="s">
        <v>333</v>
      </c>
      <c r="L25" s="79">
        <f>IF(L20&gt;0,ROUND(+L23+L24,4),0)</f>
        <v>0</v>
      </c>
      <c r="M25" s="78" t="s">
        <v>333</v>
      </c>
      <c r="N25" s="65">
        <f>IF(N20&gt;0,ROUND(+N23+N24,4),0)</f>
        <v>0</v>
      </c>
      <c r="O25" s="37"/>
    </row>
    <row r="26" spans="1:15" ht="15.75" customHeight="1" thickTop="1">
      <c r="A26" s="36"/>
      <c r="B26" s="36"/>
      <c r="C26" s="66" t="s">
        <v>396</v>
      </c>
      <c r="D26"/>
      <c r="E26"/>
      <c r="F26" s="85"/>
      <c r="G26" s="85"/>
      <c r="H26" s="67"/>
      <c r="I26" s="39"/>
      <c r="J26" s="36"/>
      <c r="K26" s="68"/>
      <c r="L26" s="86"/>
      <c r="M26" s="66"/>
      <c r="N26" s="70"/>
      <c r="O26" s="37"/>
    </row>
    <row r="27" spans="1:15" ht="15.75" customHeight="1" thickBot="1">
      <c r="A27" s="36"/>
      <c r="B27" s="36"/>
      <c r="C27" s="87"/>
      <c r="D27" s="59" t="s">
        <v>394</v>
      </c>
      <c r="E27" s="59"/>
      <c r="F27" s="59"/>
      <c r="G27" s="59"/>
      <c r="H27" s="59"/>
      <c r="I27" s="60"/>
      <c r="J27" s="61"/>
      <c r="K27" s="64"/>
      <c r="L27" s="63">
        <v>1.1579999999999999</v>
      </c>
      <c r="M27" s="64"/>
      <c r="N27" s="65">
        <v>1.268</v>
      </c>
      <c r="O27" s="37"/>
    </row>
    <row r="28" spans="1:15" ht="15.75" customHeight="1" thickTop="1">
      <c r="A28" s="36"/>
      <c r="B28" s="36"/>
      <c r="C28" s="88"/>
      <c r="D28"/>
      <c r="E28"/>
      <c r="F28"/>
      <c r="G28"/>
      <c r="H28"/>
      <c r="I28" s="39"/>
      <c r="J28" s="36"/>
      <c r="K28"/>
      <c r="L28"/>
      <c r="M28"/>
      <c r="N28"/>
      <c r="O28" s="37"/>
    </row>
    <row r="29" spans="1:15" ht="15.75" customHeight="1">
      <c r="A29" s="36"/>
      <c r="B29" s="36"/>
      <c r="C29" s="88"/>
      <c r="D29"/>
      <c r="E29"/>
      <c r="F29"/>
      <c r="G29"/>
      <c r="H29"/>
      <c r="I29" s="39"/>
      <c r="J29" s="36"/>
      <c r="K29"/>
      <c r="L29"/>
      <c r="M29"/>
      <c r="N29"/>
      <c r="O29" s="37"/>
    </row>
    <row r="30" spans="1:15" ht="15.75" customHeight="1">
      <c r="A30" s="36"/>
      <c r="B30" s="36"/>
      <c r="C30" s="88"/>
      <c r="D30"/>
      <c r="E30"/>
      <c r="F30"/>
      <c r="G30"/>
      <c r="H30"/>
      <c r="I30" s="39"/>
      <c r="J30" s="36"/>
      <c r="K30"/>
      <c r="L30"/>
      <c r="M30"/>
      <c r="N30"/>
      <c r="O30" s="37"/>
    </row>
    <row r="31" spans="1:15" ht="15.75" customHeight="1">
      <c r="A31" s="36"/>
      <c r="B31" s="36"/>
      <c r="C31" s="41" t="s">
        <v>397</v>
      </c>
      <c r="D31" s="41"/>
      <c r="E31" s="41"/>
      <c r="F31" s="41"/>
      <c r="G31" s="41"/>
      <c r="H31" s="41"/>
      <c r="I31" s="89"/>
      <c r="J31" s="420"/>
      <c r="K31" s="41"/>
      <c r="L31" s="41"/>
      <c r="M31" s="41"/>
      <c r="N31" s="41"/>
      <c r="O31" s="90"/>
    </row>
    <row r="32" spans="1:15" ht="15.75" customHeight="1" thickBot="1">
      <c r="A32" s="36"/>
      <c r="B32" s="36"/>
      <c r="C32" s="46" t="s">
        <v>383</v>
      </c>
      <c r="D32" s="46"/>
      <c r="E32" s="47"/>
      <c r="F32" s="47"/>
      <c r="G32" s="47"/>
      <c r="H32" s="47"/>
      <c r="I32" s="48"/>
      <c r="J32" s="49"/>
      <c r="K32" s="50"/>
      <c r="L32" s="51" t="s">
        <v>326</v>
      </c>
      <c r="M32" s="91"/>
      <c r="N32" s="53" t="s">
        <v>327</v>
      </c>
      <c r="O32" s="37"/>
    </row>
    <row r="33" spans="1:15" ht="15.75" customHeight="1" thickTop="1">
      <c r="A33" s="36"/>
      <c r="B33" s="36"/>
      <c r="C33" s="54" t="s">
        <v>398</v>
      </c>
      <c r="D33"/>
      <c r="E33"/>
      <c r="F33" s="55"/>
      <c r="G33" s="55"/>
      <c r="H33" s="55"/>
      <c r="I33" s="39"/>
      <c r="J33" s="36"/>
      <c r="K33" s="54"/>
      <c r="L33"/>
      <c r="M33" s="54"/>
      <c r="N33" s="92"/>
      <c r="O33" s="37"/>
    </row>
    <row r="34" spans="1:15" ht="15.75" customHeight="1" thickBot="1">
      <c r="A34" s="36"/>
      <c r="B34" s="36"/>
      <c r="C34" s="58"/>
      <c r="D34" s="59" t="s">
        <v>385</v>
      </c>
      <c r="E34" s="59"/>
      <c r="F34" s="59"/>
      <c r="G34" s="59"/>
      <c r="H34" s="59"/>
      <c r="I34" s="60"/>
      <c r="J34" s="61"/>
      <c r="K34" s="64"/>
      <c r="L34" s="63">
        <v>1.399</v>
      </c>
      <c r="M34" s="64"/>
      <c r="N34" s="65">
        <v>1.5589999999999999</v>
      </c>
      <c r="O34" s="37"/>
    </row>
    <row r="35" spans="1:15" ht="15.75" customHeight="1" thickTop="1">
      <c r="A35" s="36"/>
      <c r="B35" s="36"/>
      <c r="C35" s="66" t="s">
        <v>386</v>
      </c>
      <c r="D35"/>
      <c r="E35"/>
      <c r="F35" s="67"/>
      <c r="G35" s="67"/>
      <c r="H35" s="67"/>
      <c r="I35" s="39"/>
      <c r="J35" s="36"/>
      <c r="K35" s="93"/>
      <c r="L35" s="69"/>
      <c r="M35" s="54"/>
      <c r="N35" s="70"/>
      <c r="O35" s="37"/>
    </row>
    <row r="36" spans="1:15" ht="15.75" customHeight="1">
      <c r="A36" s="36"/>
      <c r="B36" s="36"/>
      <c r="C36" s="54"/>
      <c r="D36" t="s">
        <v>387</v>
      </c>
      <c r="E36"/>
      <c r="F36"/>
      <c r="G36"/>
      <c r="H36"/>
      <c r="I36" s="39"/>
      <c r="J36" s="36"/>
      <c r="K36" s="422"/>
      <c r="L36" s="82">
        <v>500</v>
      </c>
      <c r="M36" s="424"/>
      <c r="N36" s="75">
        <v>500</v>
      </c>
      <c r="O36" s="37"/>
    </row>
    <row r="37" spans="1:15" ht="15.75" customHeight="1">
      <c r="A37" s="36"/>
      <c r="B37" s="36"/>
      <c r="C37" s="54"/>
      <c r="D37" t="s">
        <v>388</v>
      </c>
      <c r="E37"/>
      <c r="F37"/>
      <c r="G37"/>
      <c r="H37"/>
      <c r="I37" s="39"/>
      <c r="J37" s="36"/>
      <c r="K37" s="422" t="s">
        <v>389</v>
      </c>
      <c r="L37" s="74">
        <f>IF('Data Entry'!I29&gt;99.999,IF('Data Entry'!I29&lt;500,'Data Entry'!I29,0),0)</f>
        <v>0</v>
      </c>
      <c r="M37" s="422" t="s">
        <v>389</v>
      </c>
      <c r="N37" s="75">
        <f>IF('Data Entry'!L29&gt;99.999,IF('Data Entry'!L29&lt;500,'Data Entry'!L29,0),0)</f>
        <v>0</v>
      </c>
      <c r="O37" s="37"/>
    </row>
    <row r="38" spans="1:15" ht="15.75" customHeight="1">
      <c r="A38" s="36"/>
      <c r="B38" s="36"/>
      <c r="C38" s="54"/>
      <c r="D38" t="s">
        <v>390</v>
      </c>
      <c r="E38"/>
      <c r="F38"/>
      <c r="G38"/>
      <c r="H38"/>
      <c r="I38" s="39"/>
      <c r="J38" s="36"/>
      <c r="K38" s="422" t="s">
        <v>333</v>
      </c>
      <c r="L38" s="74">
        <f>IF(L37&gt;0,ROUND(+L36-L37,4),0)</f>
        <v>0</v>
      </c>
      <c r="M38" s="422" t="s">
        <v>333</v>
      </c>
      <c r="N38" s="75">
        <f>IF(N37&gt;0,ROUND(+N36-N37,4),0)</f>
        <v>0</v>
      </c>
      <c r="O38" s="37"/>
    </row>
    <row r="39" spans="1:15" ht="15.75" customHeight="1">
      <c r="A39" s="36"/>
      <c r="B39" s="36"/>
      <c r="C39" s="54"/>
      <c r="D39" t="s">
        <v>391</v>
      </c>
      <c r="E39"/>
      <c r="F39"/>
      <c r="G39"/>
      <c r="H39"/>
      <c r="I39" s="39"/>
      <c r="J39" s="36"/>
      <c r="K39" s="422" t="s">
        <v>299</v>
      </c>
      <c r="L39" s="74">
        <v>2.9999999999999997E-4</v>
      </c>
      <c r="M39" s="422" t="s">
        <v>299</v>
      </c>
      <c r="N39" s="75">
        <v>4.0000000000000002E-4</v>
      </c>
      <c r="O39" s="37"/>
    </row>
    <row r="40" spans="1:15" ht="15.75" customHeight="1">
      <c r="A40" s="36"/>
      <c r="B40" s="36"/>
      <c r="C40" s="54"/>
      <c r="D40" t="s">
        <v>392</v>
      </c>
      <c r="E40"/>
      <c r="F40"/>
      <c r="G40"/>
      <c r="H40"/>
      <c r="I40" s="39"/>
      <c r="J40" s="36"/>
      <c r="K40" s="422" t="s">
        <v>333</v>
      </c>
      <c r="L40" s="74">
        <f>IF(L37&gt;0,ROUND(L38*L39,4),0)</f>
        <v>0</v>
      </c>
      <c r="M40" s="422" t="s">
        <v>333</v>
      </c>
      <c r="N40" s="75">
        <f>IF(N37&gt;0,ROUND(N38*N39,4),0)</f>
        <v>0</v>
      </c>
      <c r="O40" s="37"/>
    </row>
    <row r="41" spans="1:15" ht="15.75" customHeight="1">
      <c r="A41" s="36"/>
      <c r="B41" s="36"/>
      <c r="C41" s="54"/>
      <c r="D41" t="s">
        <v>393</v>
      </c>
      <c r="E41"/>
      <c r="F41"/>
      <c r="G41"/>
      <c r="H41"/>
      <c r="I41" s="39"/>
      <c r="J41" s="36"/>
      <c r="K41" s="422" t="s">
        <v>330</v>
      </c>
      <c r="L41" s="74">
        <v>1.278</v>
      </c>
      <c r="M41" s="422" t="s">
        <v>330</v>
      </c>
      <c r="N41" s="75">
        <v>1.3979999999999999</v>
      </c>
      <c r="O41" s="37"/>
    </row>
    <row r="42" spans="1:15" ht="15.75" customHeight="1" thickBot="1">
      <c r="A42" s="36"/>
      <c r="B42" s="36"/>
      <c r="C42" s="58"/>
      <c r="D42" s="59" t="s">
        <v>394</v>
      </c>
      <c r="E42" s="59"/>
      <c r="F42" s="59"/>
      <c r="G42" s="59"/>
      <c r="H42" s="59"/>
      <c r="I42" s="60"/>
      <c r="J42" s="61"/>
      <c r="K42" s="84" t="s">
        <v>333</v>
      </c>
      <c r="L42" s="79">
        <f>IF(L37&gt;0,ROUND(+L40+L41,4),0)</f>
        <v>0</v>
      </c>
      <c r="M42" s="84" t="s">
        <v>333</v>
      </c>
      <c r="N42" s="65">
        <f>IF(N37&gt;0,ROUND(+N40+N41,4),0)</f>
        <v>0</v>
      </c>
      <c r="O42" s="37"/>
    </row>
    <row r="43" spans="1:15" ht="15.75" customHeight="1" thickTop="1">
      <c r="A43" s="36"/>
      <c r="B43" s="36"/>
      <c r="C43" s="66" t="s">
        <v>395</v>
      </c>
      <c r="D43"/>
      <c r="E43"/>
      <c r="F43" s="67"/>
      <c r="G43" s="67"/>
      <c r="H43" s="67"/>
      <c r="I43" s="39"/>
      <c r="J43" s="36"/>
      <c r="K43" s="68"/>
      <c r="L43" s="69"/>
      <c r="M43" s="54"/>
      <c r="N43" s="70"/>
      <c r="O43" s="37"/>
    </row>
    <row r="44" spans="1:15" ht="15.75" customHeight="1">
      <c r="A44" s="36"/>
      <c r="B44" s="36"/>
      <c r="C44" s="54"/>
      <c r="D44" t="s">
        <v>387</v>
      </c>
      <c r="E44"/>
      <c r="F44"/>
      <c r="G44"/>
      <c r="H44"/>
      <c r="I44" s="39"/>
      <c r="J44" s="36"/>
      <c r="K44" s="422"/>
      <c r="L44" s="82">
        <v>600</v>
      </c>
      <c r="M44" s="424"/>
      <c r="N44" s="75">
        <v>600</v>
      </c>
      <c r="O44" s="37"/>
    </row>
    <row r="45" spans="1:15" ht="15.75" customHeight="1">
      <c r="A45" s="36"/>
      <c r="B45" s="36"/>
      <c r="C45" s="54"/>
      <c r="D45" t="s">
        <v>388</v>
      </c>
      <c r="E45"/>
      <c r="F45"/>
      <c r="G45"/>
      <c r="H45"/>
      <c r="I45" s="39"/>
      <c r="J45" s="36"/>
      <c r="K45" s="422" t="s">
        <v>389</v>
      </c>
      <c r="L45" s="74">
        <f>IF('Data Entry'!I29&gt;499.999,IF('Data Entry'!I29&lt;600,'Data Entry'!I29,0),0)</f>
        <v>0</v>
      </c>
      <c r="M45" s="422" t="s">
        <v>389</v>
      </c>
      <c r="N45" s="75">
        <f>IF('Data Entry'!L29&gt;499.999,IF('Data Entry'!L29&lt;600,'Data Entry'!L29,0),0)</f>
        <v>0</v>
      </c>
      <c r="O45" s="37"/>
    </row>
    <row r="46" spans="1:15" ht="15.75" customHeight="1">
      <c r="A46" s="36"/>
      <c r="B46" s="36"/>
      <c r="C46" s="54"/>
      <c r="D46" t="s">
        <v>390</v>
      </c>
      <c r="E46"/>
      <c r="F46"/>
      <c r="G46"/>
      <c r="H46"/>
      <c r="I46" s="39"/>
      <c r="J46" s="36"/>
      <c r="K46" s="422" t="s">
        <v>333</v>
      </c>
      <c r="L46" s="74">
        <f>IF(L45&gt;0,ROUND(+L44-L45,4),0)</f>
        <v>0</v>
      </c>
      <c r="M46" s="422" t="s">
        <v>333</v>
      </c>
      <c r="N46" s="75">
        <f>IF(N45&gt;0,ROUND(+N44-N45,4),0)</f>
        <v>0</v>
      </c>
      <c r="O46" s="37"/>
    </row>
    <row r="47" spans="1:15" ht="15.75" customHeight="1">
      <c r="A47" s="36"/>
      <c r="B47" s="36"/>
      <c r="C47" s="54"/>
      <c r="D47" t="s">
        <v>391</v>
      </c>
      <c r="E47"/>
      <c r="F47"/>
      <c r="G47"/>
      <c r="H47"/>
      <c r="I47" s="39"/>
      <c r="J47" s="36"/>
      <c r="K47" s="422" t="s">
        <v>299</v>
      </c>
      <c r="L47" s="74">
        <v>1.1999999999999999E-3</v>
      </c>
      <c r="M47" s="422" t="s">
        <v>299</v>
      </c>
      <c r="N47" s="75">
        <v>1.2999999999999999E-3</v>
      </c>
      <c r="O47" s="37"/>
    </row>
    <row r="48" spans="1:15" ht="15.75" customHeight="1">
      <c r="A48" s="36"/>
      <c r="B48" s="36"/>
      <c r="C48" s="54"/>
      <c r="D48" t="s">
        <v>392</v>
      </c>
      <c r="E48"/>
      <c r="F48"/>
      <c r="G48"/>
      <c r="H48"/>
      <c r="I48" s="39"/>
      <c r="J48" s="36"/>
      <c r="K48" s="422" t="s">
        <v>333</v>
      </c>
      <c r="L48" s="74">
        <f>IF(L45&gt;0,ROUND(L46*L47,4),0)</f>
        <v>0</v>
      </c>
      <c r="M48" s="422" t="s">
        <v>333</v>
      </c>
      <c r="N48" s="75">
        <f>IF(N45&gt;0,ROUND(N46*N47,4),0)</f>
        <v>0</v>
      </c>
      <c r="O48" s="37"/>
    </row>
    <row r="49" spans="1:31" ht="15.75" customHeight="1">
      <c r="A49" s="36"/>
      <c r="B49" s="36"/>
      <c r="C49" s="54"/>
      <c r="D49" t="s">
        <v>393</v>
      </c>
      <c r="E49"/>
      <c r="F49"/>
      <c r="G49"/>
      <c r="H49"/>
      <c r="I49" s="39"/>
      <c r="J49" s="36"/>
      <c r="K49" s="422" t="s">
        <v>330</v>
      </c>
      <c r="L49" s="74">
        <v>1.1579999999999999</v>
      </c>
      <c r="M49" s="422" t="s">
        <v>330</v>
      </c>
      <c r="N49" s="75">
        <v>1.268</v>
      </c>
      <c r="O49" s="37"/>
    </row>
    <row r="50" spans="1:31" ht="15.75" customHeight="1" thickBot="1">
      <c r="A50" s="36"/>
      <c r="B50" s="36"/>
      <c r="C50" s="58"/>
      <c r="D50" s="59" t="s">
        <v>394</v>
      </c>
      <c r="E50" s="59"/>
      <c r="F50" s="59"/>
      <c r="G50" s="59"/>
      <c r="H50" s="59"/>
      <c r="I50" s="60"/>
      <c r="J50" s="61"/>
      <c r="K50" s="84" t="s">
        <v>333</v>
      </c>
      <c r="L50" s="79">
        <f>IF(L45&gt;0,ROUND(+L48+L49,4),0)</f>
        <v>0</v>
      </c>
      <c r="M50" s="84" t="s">
        <v>333</v>
      </c>
      <c r="N50" s="65">
        <f>IF(N45&gt;0,ROUND(+N48+N49,4),0)</f>
        <v>0</v>
      </c>
      <c r="O50" s="37"/>
    </row>
    <row r="51" spans="1:31" ht="15.75" customHeight="1" thickTop="1">
      <c r="A51" s="36"/>
      <c r="B51" s="36"/>
      <c r="C51" s="66" t="s">
        <v>396</v>
      </c>
      <c r="D51"/>
      <c r="E51"/>
      <c r="F51" s="85"/>
      <c r="G51" s="85"/>
      <c r="H51" s="67"/>
      <c r="I51" s="39"/>
      <c r="J51" s="36"/>
      <c r="K51" s="68"/>
      <c r="L51" s="81"/>
      <c r="M51" s="54"/>
      <c r="N51" s="70"/>
      <c r="O51" s="37"/>
    </row>
    <row r="52" spans="1:31" ht="15.75" customHeight="1" thickBot="1">
      <c r="A52" s="36"/>
      <c r="B52" s="36"/>
      <c r="C52" s="87"/>
      <c r="D52" s="59" t="s">
        <v>394</v>
      </c>
      <c r="E52" s="59"/>
      <c r="F52" s="59"/>
      <c r="G52" s="59"/>
      <c r="H52" s="59"/>
      <c r="I52" s="60"/>
      <c r="J52" s="61"/>
      <c r="K52" s="64"/>
      <c r="L52" s="63">
        <v>1.1579999999999999</v>
      </c>
      <c r="M52" s="94"/>
      <c r="N52" s="65">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5" t="s">
        <v>399</v>
      </c>
      <c r="C56" s="95"/>
      <c r="D56"/>
      <c r="E56"/>
      <c r="F56"/>
      <c r="G56" s="39"/>
      <c r="H56" s="36"/>
      <c r="I56" s="39"/>
      <c r="J56" s="36"/>
      <c r="K56" s="36"/>
      <c r="L56" s="37"/>
      <c r="M56" s="37"/>
      <c r="N56" s="36"/>
      <c r="O56" s="37"/>
    </row>
    <row r="57" spans="1:31" ht="15.75" customHeight="1">
      <c r="A57" s="36"/>
      <c r="B57" s="411">
        <v>1</v>
      </c>
      <c r="C57" t="s">
        <v>400</v>
      </c>
      <c r="D57"/>
      <c r="E57"/>
      <c r="F57"/>
      <c r="G57" s="39"/>
      <c r="H57" s="36"/>
      <c r="I57" s="39"/>
      <c r="J57" s="36"/>
      <c r="K57" s="36"/>
      <c r="L57" s="96">
        <f>IF('Data Entry'!I20&gt;0,IF('Data Entry'!I20&lt;100,L9,IF('Data Entry'!I20&lt;500,L17,IF('Data Entry'!I20&lt;600,L25,L27))),0)</f>
        <v>1.3875</v>
      </c>
      <c r="M57" s="37"/>
      <c r="N57" s="71">
        <f>IF('Data Entry'!L20&gt;0,IF('Data Entry'!L20&lt;100,N9,IF('Data Entry'!L20&lt;500,N17,IF('Data Entry'!L20&lt;600,N25,N27))),0)</f>
        <v>1.544</v>
      </c>
      <c r="O57" s="37"/>
    </row>
    <row r="58" spans="1:31" ht="15.75" customHeight="1">
      <c r="A58" s="36"/>
      <c r="B58" s="411">
        <v>2</v>
      </c>
      <c r="C58" t="s">
        <v>401</v>
      </c>
      <c r="D58"/>
      <c r="E58"/>
      <c r="F58"/>
      <c r="G58" s="39"/>
      <c r="H58" s="36"/>
      <c r="I58" s="39"/>
      <c r="J58" s="36"/>
      <c r="K58" s="36"/>
      <c r="L58" s="71">
        <f>IF(AND('Data Entry'!I29=0,'Data Entry'!$A$6="X"),1.158,IF('Data Entry'!I29&gt;0,IF('Data Entry'!I29&lt;100,L34,IF('Data Entry'!I29&lt;500,L42,IF('Data Entry'!I29&lt;600,L50,L52))),0))</f>
        <v>0</v>
      </c>
      <c r="M58" s="37"/>
      <c r="N58" s="71">
        <f>IF(AND('Data Entry'!L29=0,'Data Entry'!$A$6="X"),1.268,IF('Data Entry'!L29&gt;0,IF('Data Entry'!L29&lt;100,N34,IF('Data Entry'!L29&lt;500,N42,IF('Data Entry'!L29&lt;600,N50,N52))),0))</f>
        <v>0</v>
      </c>
      <c r="O58" s="37"/>
    </row>
    <row r="59" spans="1:31" ht="15.75" customHeight="1">
      <c r="A59" s="36"/>
      <c r="B59" s="411">
        <v>3</v>
      </c>
      <c r="C59" s="97" t="s">
        <v>402</v>
      </c>
      <c r="D59" s="98"/>
      <c r="E59" s="98"/>
      <c r="F59" s="98"/>
      <c r="G59" s="99"/>
      <c r="H59" s="100"/>
      <c r="I59" s="99"/>
      <c r="J59" s="100"/>
      <c r="K59" s="100"/>
      <c r="L59" s="71">
        <f>IF(StudCntK8CY=0,0,IF(OR('Data Entry'!B8="X",'Data Entry'!B9="X",'Data Entry'!B10="X",'Data Entry'!B11="X"),Calculations!L58,Calculations!L57))</f>
        <v>1.3875</v>
      </c>
      <c r="M59" s="101"/>
      <c r="N59" s="71">
        <f>IF(StudCnt912CY=0,0,IF(OR('Data Entry'!B8="X",'Data Entry'!B9="X",'Data Entry'!B10="X",'Data Entry'!B11="X"),Calculations!N58,Calculations!N57))</f>
        <v>1.544</v>
      </c>
      <c r="O59" s="37"/>
    </row>
    <row r="61" spans="1:31" ht="13.2">
      <c r="A61" s="95"/>
      <c r="C61" s="95"/>
      <c r="D61" s="95"/>
      <c r="E61" s="95"/>
      <c r="F61" s="95"/>
    </row>
    <row r="62" spans="1:31" ht="13.2">
      <c r="A62" s="95"/>
      <c r="B62" s="102" t="s">
        <v>403</v>
      </c>
      <c r="C62" s="95"/>
      <c r="D62" s="95"/>
      <c r="E62" s="95"/>
      <c r="F62" s="95"/>
      <c r="T62" s="490"/>
      <c r="U62" s="490"/>
      <c r="V62" s="490"/>
      <c r="W62" s="490"/>
      <c r="X62" s="490"/>
      <c r="Y62" s="490"/>
      <c r="Z62" s="490"/>
      <c r="AA62" s="490"/>
      <c r="AB62" s="490"/>
      <c r="AC62" s="490"/>
      <c r="AD62" s="490"/>
      <c r="AE62" s="490"/>
    </row>
    <row r="63" spans="1:31" ht="12.75" customHeight="1">
      <c r="B63" s="627" t="s">
        <v>404</v>
      </c>
      <c r="C63" s="627"/>
      <c r="D63" s="627"/>
      <c r="E63" s="627"/>
      <c r="F63" s="627"/>
      <c r="G63" s="627"/>
      <c r="H63" s="627"/>
      <c r="I63" s="627"/>
      <c r="J63" s="627"/>
      <c r="K63" s="627"/>
      <c r="L63" s="627"/>
      <c r="M63" s="627"/>
      <c r="N63" s="627"/>
      <c r="O63" s="627"/>
      <c r="P63" s="103"/>
    </row>
    <row r="64" spans="1:31" ht="12.75" customHeight="1">
      <c r="B64" s="627"/>
      <c r="C64" s="627"/>
      <c r="D64" s="627"/>
      <c r="E64" s="627"/>
      <c r="F64" s="627"/>
      <c r="G64" s="627"/>
      <c r="H64" s="627"/>
      <c r="I64" s="627"/>
      <c r="J64" s="627"/>
      <c r="K64" s="627"/>
      <c r="L64" s="627"/>
      <c r="M64" s="627"/>
      <c r="N64" s="627"/>
      <c r="O64" s="627"/>
      <c r="P64" s="103"/>
    </row>
    <row r="65" spans="1:26" ht="12.75" customHeight="1">
      <c r="B65" s="627"/>
      <c r="C65" s="627"/>
      <c r="D65" s="627"/>
      <c r="E65" s="627"/>
      <c r="F65" s="627"/>
      <c r="G65" s="627"/>
      <c r="H65" s="627"/>
      <c r="I65" s="627"/>
      <c r="J65" s="627"/>
      <c r="K65" s="627"/>
      <c r="L65" s="627"/>
      <c r="M65" s="627"/>
      <c r="N65" s="627"/>
      <c r="O65" s="627"/>
      <c r="P65" s="103"/>
    </row>
    <row r="66" spans="1:26" ht="12.75" customHeight="1">
      <c r="B66" s="627"/>
      <c r="C66" s="627"/>
      <c r="D66" s="627"/>
      <c r="E66" s="627"/>
      <c r="F66" s="627"/>
      <c r="G66" s="627"/>
      <c r="H66" s="627"/>
      <c r="I66" s="627"/>
      <c r="J66" s="627"/>
      <c r="K66" s="627"/>
      <c r="L66" s="627"/>
      <c r="M66" s="627"/>
      <c r="N66" s="627"/>
      <c r="O66" s="627"/>
      <c r="P66" s="103"/>
    </row>
    <row r="67" spans="1:26" ht="12.75" customHeight="1">
      <c r="B67" s="627"/>
      <c r="C67" s="627"/>
      <c r="D67" s="627"/>
      <c r="E67" s="627"/>
      <c r="F67" s="627"/>
      <c r="G67" s="627"/>
      <c r="H67" s="627"/>
      <c r="I67" s="627"/>
      <c r="J67" s="627"/>
      <c r="K67" s="627"/>
      <c r="L67" s="627"/>
      <c r="M67" s="627"/>
      <c r="N67" s="627"/>
      <c r="O67" s="627"/>
      <c r="P67" s="103"/>
    </row>
    <row r="68" spans="1:26" ht="18" customHeight="1">
      <c r="B68" s="627"/>
      <c r="C68" s="627"/>
      <c r="D68" s="627"/>
      <c r="E68" s="627"/>
      <c r="F68" s="627"/>
      <c r="G68" s="627"/>
      <c r="H68" s="627"/>
      <c r="I68" s="627"/>
      <c r="J68" s="627"/>
      <c r="K68" s="627"/>
      <c r="L68" s="627"/>
      <c r="M68" s="627"/>
      <c r="N68" s="627"/>
      <c r="O68" s="627"/>
      <c r="P68" s="103"/>
    </row>
    <row r="69" spans="1:26" ht="12.75" customHeight="1">
      <c r="B69" s="104"/>
      <c r="C69" s="104"/>
      <c r="D69" s="104"/>
      <c r="E69" s="104"/>
      <c r="F69" s="104"/>
      <c r="G69" s="104"/>
      <c r="H69" s="104"/>
      <c r="I69" s="104"/>
      <c r="J69" s="104"/>
      <c r="K69" s="104"/>
      <c r="L69" s="104"/>
      <c r="M69" s="104"/>
      <c r="N69" s="104"/>
      <c r="O69" s="104"/>
      <c r="P69" s="103"/>
    </row>
    <row r="70" spans="1:26" ht="13.2">
      <c r="B70" s="488" t="s">
        <v>405</v>
      </c>
      <c r="C70" s="488"/>
      <c r="D70" s="488"/>
      <c r="E70" s="488"/>
      <c r="F70" s="488"/>
      <c r="G70" s="488"/>
      <c r="H70"/>
      <c r="M70" s="409"/>
      <c r="N70" s="105"/>
      <c r="V70" s="106"/>
      <c r="W70" s="106"/>
      <c r="X70" s="106"/>
      <c r="Y70" s="106"/>
      <c r="Z70" s="106"/>
    </row>
    <row r="71" spans="1:26" ht="12.75" customHeight="1">
      <c r="B71"/>
      <c r="C71"/>
      <c r="D71"/>
      <c r="E71" s="409"/>
      <c r="F71" s="107" t="s">
        <v>342</v>
      </c>
      <c r="G71" s="415" t="s">
        <v>341</v>
      </c>
      <c r="H71" s="108"/>
      <c r="M71" s="409"/>
      <c r="N71" s="105"/>
      <c r="R71" s="409"/>
    </row>
    <row r="72" spans="1:26" ht="13.2">
      <c r="B72" t="s">
        <v>406</v>
      </c>
      <c r="C72"/>
      <c r="D72"/>
      <c r="E72" s="109"/>
      <c r="F72" s="110">
        <f>'Data Entry'!I39*0.06</f>
        <v>2.64</v>
      </c>
      <c r="G72" s="111">
        <f>'Data Entry'!I38*0.04</f>
        <v>1.76</v>
      </c>
      <c r="H72" s="112"/>
      <c r="N72" s="113"/>
      <c r="R72" s="109"/>
    </row>
    <row r="73" spans="1:26" ht="12.75" customHeight="1">
      <c r="B73" t="s">
        <v>407</v>
      </c>
      <c r="C73"/>
      <c r="D73"/>
      <c r="E73" s="109"/>
      <c r="F73" s="110">
        <f>'Data Entry'!J39*0.06*0.95</f>
        <v>0</v>
      </c>
      <c r="G73" s="111">
        <f>'Data Entry'!J38*0.04*0.95</f>
        <v>0</v>
      </c>
      <c r="H73" s="112"/>
      <c r="M73" s="409"/>
      <c r="N73" s="105"/>
      <c r="Q73"/>
      <c r="R73" s="109"/>
    </row>
    <row r="74" spans="1:26" ht="12.75" customHeight="1">
      <c r="B74" t="s">
        <v>408</v>
      </c>
      <c r="C74" s="114"/>
      <c r="D74" s="114"/>
      <c r="E74" s="109"/>
      <c r="F74" s="110">
        <f>'Data Entry'!K39*0.06*0.85</f>
        <v>0</v>
      </c>
      <c r="G74" s="111">
        <f>'Data Entry'!K38*0.04*0.85</f>
        <v>0</v>
      </c>
      <c r="H74" s="112"/>
      <c r="I74"/>
      <c r="L74" t="s">
        <v>342</v>
      </c>
      <c r="M74" s="115" t="s">
        <v>8</v>
      </c>
      <c r="N74" s="116">
        <f>'BSA55'!H50*F75</f>
        <v>12974.83</v>
      </c>
      <c r="Q74" s="409"/>
      <c r="R74" s="109"/>
    </row>
    <row r="75" spans="1:26" ht="13.2">
      <c r="B75" t="s">
        <v>278</v>
      </c>
      <c r="C75" s="114"/>
      <c r="D75" s="114"/>
      <c r="E75" s="109"/>
      <c r="F75" s="110">
        <f>SUM(F72:F74)</f>
        <v>2.64</v>
      </c>
      <c r="G75" s="111">
        <f>SUM(G72:G74)</f>
        <v>1.76</v>
      </c>
      <c r="H75" s="112"/>
      <c r="I75"/>
      <c r="L75" t="s">
        <v>341</v>
      </c>
      <c r="M75" s="115" t="s">
        <v>8</v>
      </c>
      <c r="N75" s="117">
        <f>'BSA55'!H50*G75</f>
        <v>8649.89</v>
      </c>
      <c r="P75"/>
      <c r="Q75" s="109"/>
      <c r="R75" s="109"/>
    </row>
    <row r="76" spans="1:26" ht="12.75" customHeight="1">
      <c r="B76" s="114"/>
      <c r="C76" s="114"/>
      <c r="D76" s="114"/>
      <c r="E76"/>
      <c r="F76" s="114"/>
      <c r="G76" s="114"/>
      <c r="H76" s="114"/>
      <c r="I76"/>
      <c r="M76" s="409"/>
      <c r="N76" s="105"/>
      <c r="P76"/>
      <c r="Q76" s="109"/>
    </row>
    <row r="77" spans="1:26" ht="12.75" customHeight="1">
      <c r="A77" s="118"/>
      <c r="B77" s="626" t="s">
        <v>409</v>
      </c>
      <c r="C77" s="626"/>
      <c r="D77" s="626"/>
      <c r="E77" s="626"/>
      <c r="F77" s="626"/>
      <c r="G77" s="626"/>
      <c r="H77" s="114"/>
      <c r="I77"/>
      <c r="M77" s="409"/>
      <c r="N77" s="105"/>
      <c r="P77"/>
      <c r="Q77" s="109"/>
    </row>
    <row r="78" spans="1:26" ht="13.2">
      <c r="A78" s="119"/>
      <c r="B78" s="626"/>
      <c r="C78" s="626"/>
      <c r="D78" s="626"/>
      <c r="E78" s="626"/>
      <c r="F78" s="626"/>
      <c r="G78" s="626"/>
      <c r="H78"/>
      <c r="I78"/>
      <c r="M78" s="409"/>
      <c r="N78" s="105"/>
      <c r="P78"/>
      <c r="Q78" s="109"/>
    </row>
    <row r="79" spans="1:26" ht="12.75" customHeight="1">
      <c r="A79" s="119"/>
      <c r="B79" s="119"/>
      <c r="C79" s="119"/>
      <c r="M79" s="120"/>
      <c r="N79" s="121"/>
      <c r="P79" s="535"/>
      <c r="Q79" s="535"/>
      <c r="R79" s="535"/>
    </row>
    <row r="80" spans="1:26" ht="12.75" customHeight="1">
      <c r="A80" s="119"/>
      <c r="B80" s="119"/>
      <c r="C80" s="119"/>
      <c r="D80"/>
      <c r="F80" s="411"/>
      <c r="G80"/>
      <c r="H80"/>
      <c r="I80"/>
      <c r="L80"/>
      <c r="M80" s="409"/>
      <c r="N80" s="122"/>
      <c r="P80" s="535"/>
      <c r="Q80" s="535"/>
      <c r="R80" s="535"/>
    </row>
    <row r="81" spans="1:25" ht="13.2">
      <c r="A81" s="119"/>
      <c r="B81" s="119"/>
      <c r="C81" s="119"/>
      <c r="L81"/>
      <c r="M81" s="409"/>
      <c r="N81" s="122"/>
      <c r="P81" s="419"/>
      <c r="Q81" s="419"/>
      <c r="R81" s="419"/>
    </row>
    <row r="82" spans="1:25" ht="13.2">
      <c r="A82" s="119"/>
      <c r="B82" s="119"/>
      <c r="C82" s="119"/>
      <c r="L82"/>
      <c r="M82" s="409"/>
      <c r="N82" s="121"/>
      <c r="P82" s="419"/>
      <c r="Q82" s="419"/>
      <c r="R82" s="419"/>
    </row>
    <row r="83" spans="1:25" ht="13.2">
      <c r="A83" s="95" t="s">
        <v>378</v>
      </c>
      <c r="B83" s="95"/>
      <c r="C83" s="95"/>
      <c r="D83" s="95"/>
      <c r="E83" s="95"/>
      <c r="F83" s="95"/>
      <c r="G83" s="95"/>
      <c r="H83" s="95"/>
      <c r="I83" s="95"/>
      <c r="J83" s="95"/>
      <c r="K83" s="95"/>
      <c r="L83" s="95"/>
      <c r="N83" s="105"/>
      <c r="W83" s="123"/>
    </row>
    <row r="84" spans="1:25" ht="12.75" customHeight="1">
      <c r="A84" s="630" t="s">
        <v>410</v>
      </c>
      <c r="B84" s="630"/>
      <c r="C84" s="630"/>
      <c r="D84" s="630"/>
      <c r="E84" s="630"/>
      <c r="F84" s="630"/>
      <c r="G84" s="630"/>
      <c r="H84" s="630"/>
      <c r="I84" s="630"/>
      <c r="J84" s="630"/>
      <c r="K84" s="630"/>
      <c r="L84" s="630"/>
      <c r="M84" s="630"/>
      <c r="N84" s="630"/>
      <c r="O84" s="630"/>
      <c r="W84" s="123"/>
    </row>
    <row r="85" spans="1:25" ht="12.75" customHeight="1">
      <c r="A85" s="630"/>
      <c r="B85" s="630"/>
      <c r="C85" s="630"/>
      <c r="D85" s="630"/>
      <c r="E85" s="630"/>
      <c r="F85" s="630"/>
      <c r="G85" s="630"/>
      <c r="H85" s="630"/>
      <c r="I85" s="630"/>
      <c r="J85" s="630"/>
      <c r="K85" s="630"/>
      <c r="L85" s="630"/>
      <c r="M85" s="630"/>
      <c r="N85" s="630"/>
      <c r="O85" s="630"/>
      <c r="W85" s="123"/>
    </row>
    <row r="86" spans="1:25" ht="12.75" customHeight="1">
      <c r="A86" s="630"/>
      <c r="B86" s="630"/>
      <c r="C86" s="630"/>
      <c r="D86" s="630"/>
      <c r="E86" s="630"/>
      <c r="F86" s="630"/>
      <c r="G86" s="630"/>
      <c r="H86" s="630"/>
      <c r="I86" s="630"/>
      <c r="J86" s="630"/>
      <c r="K86" s="630"/>
      <c r="L86" s="630"/>
      <c r="M86" s="630"/>
      <c r="N86" s="630"/>
      <c r="O86" s="630"/>
      <c r="W86" s="123"/>
    </row>
    <row r="87" spans="1:25" ht="12.75" customHeight="1">
      <c r="A87" s="630"/>
      <c r="B87" s="630"/>
      <c r="C87" s="630"/>
      <c r="D87" s="630"/>
      <c r="E87" s="630"/>
      <c r="F87" s="630"/>
      <c r="G87" s="630"/>
      <c r="H87" s="630"/>
      <c r="I87" s="630"/>
      <c r="J87" s="630"/>
      <c r="K87" s="630"/>
      <c r="L87" s="630"/>
      <c r="M87" s="630"/>
      <c r="N87" s="630"/>
      <c r="O87" s="630"/>
      <c r="W87" s="123"/>
    </row>
    <row r="88" spans="1:25" ht="13.2">
      <c r="A88" s="1"/>
      <c r="B88" s="1"/>
      <c r="C88" s="1"/>
      <c r="D88" s="1"/>
      <c r="E88" s="1"/>
      <c r="F88" s="1"/>
      <c r="G88" s="1"/>
      <c r="H88" s="1"/>
      <c r="I88" s="1"/>
      <c r="J88" s="1"/>
      <c r="K88" s="1"/>
      <c r="L88" s="1"/>
      <c r="N88" s="105"/>
      <c r="W88" s="123"/>
    </row>
    <row r="89" spans="1:25" ht="13.2">
      <c r="B89" s="124">
        <v>1</v>
      </c>
      <c r="C89" t="s">
        <v>411</v>
      </c>
      <c r="D89"/>
      <c r="E89"/>
      <c r="F89"/>
      <c r="M89" s="115" t="s">
        <v>8</v>
      </c>
      <c r="N89" s="116">
        <f>75000000*'Data Entry'!N82</f>
        <v>20400</v>
      </c>
      <c r="T89" s="120"/>
      <c r="X89" s="628"/>
      <c r="Y89" s="628"/>
    </row>
    <row r="90" spans="1:25" ht="13.2">
      <c r="B90" s="411"/>
      <c r="C90"/>
      <c r="D90"/>
      <c r="E90"/>
      <c r="F90"/>
      <c r="N90" s="105"/>
    </row>
  </sheetData>
  <sheetProtection sheet="1" formatCells="0" formatColumns="0" formatRows="0"/>
  <mergeCells count="11">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B89" location="PercentStatewideWeightedStudentCount" display="PercentStatewideWeightedStudentCount" xr:uid="{00000000-0004-0000-0900-000004000000}"/>
    <hyperlink ref="C6:G6" r:id="rId4" display="Table 1 - Individual Charter School Counts " xr:uid="{00000000-0004-0000-0900-000005000000}"/>
    <hyperlink ref="C6:H6" location="'Data Entry'!B13" display="Table 1 - Individual Charter School Counts " xr:uid="{00000000-0004-0000-0900-000006000000}"/>
    <hyperlink ref="C31" location="'Data Entry'!B22" display="Table 2 - Charter Holder Total Charter School Counts (only calculated if one or more criteria are checked on the Data Entry Tab)" xr:uid="{00000000-0004-0000-0900-000007000000}"/>
  </hyperlinks>
  <printOptions horizontalCentered="1"/>
  <pageMargins left="0.2" right="0.2" top="0.25" bottom="0.25" header="0.5" footer="0.25"/>
  <pageSetup paperSize="5" scale="66" orientation="portrait" r:id="rId5"/>
  <headerFooter>
    <oddFooter>&amp;L&amp;"Arial,Bold"Rev. 5/24 Arizona Department of Education and Auditor General&amp;R&amp;"Arial,Bold"Calculations</oddFoot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178"/>
  <sheetViews>
    <sheetView showGridLines="0" topLeftCell="A9" workbookViewId="0">
      <selection activeCell="B8" sqref="B8"/>
    </sheetView>
  </sheetViews>
  <sheetFormatPr defaultColWidth="9" defaultRowHeight="13.2"/>
  <cols>
    <col min="1" max="1" width="43.5546875" style="125" bestFit="1" customWidth="1"/>
    <col min="2" max="2" width="22.44140625" style="125" bestFit="1" customWidth="1"/>
    <col min="3" max="3" width="22.44140625" style="125" customWidth="1"/>
    <col min="4" max="4" width="22.44140625" style="125" bestFit="1" customWidth="1"/>
    <col min="5" max="5" width="22.44140625" style="125" customWidth="1"/>
    <col min="6" max="6" width="17.44140625" style="125" customWidth="1"/>
    <col min="7" max="7" width="22.44140625" style="125" customWidth="1"/>
    <col min="8" max="8" width="17.5546875" style="125" bestFit="1" customWidth="1"/>
    <col min="9" max="9" width="14.44140625" style="125" customWidth="1"/>
    <col min="10" max="10" width="14.5546875" style="125" customWidth="1"/>
    <col min="11" max="14" width="9" style="125" customWidth="1"/>
    <col min="15" max="16384" width="9" style="125"/>
  </cols>
  <sheetData>
    <row r="1" spans="1:10">
      <c r="A1" s="36" t="s">
        <v>0</v>
      </c>
      <c r="B1" s="531" t="str">
        <f>CharterName</f>
        <v>Nosotros Academy</v>
      </c>
      <c r="C1" s="531"/>
      <c r="D1" s="36" t="s">
        <v>1</v>
      </c>
      <c r="E1" s="631" t="str">
        <f>Cover!M1</f>
        <v>Pima</v>
      </c>
      <c r="F1" s="531"/>
      <c r="G1" s="531"/>
      <c r="H1" s="36" t="s">
        <v>2</v>
      </c>
      <c r="I1" s="532" t="str">
        <f>CTD</f>
        <v>108707000</v>
      </c>
      <c r="J1" s="532"/>
    </row>
    <row r="2" spans="1:10">
      <c r="A2" s="36"/>
      <c r="B2" s="160"/>
      <c r="C2" s="409"/>
      <c r="D2" s="36"/>
      <c r="E2" s="160"/>
      <c r="F2" s="409"/>
      <c r="G2" s="409"/>
      <c r="H2"/>
      <c r="I2" s="36"/>
      <c r="J2" s="409"/>
    </row>
    <row r="3" spans="1:10">
      <c r="A3" s="632" t="str">
        <f>IF(CharterName&lt;&gt;0,CharterName,"")</f>
        <v>Nosotros Academy</v>
      </c>
      <c r="B3" s="632"/>
      <c r="C3" s="632"/>
      <c r="D3" s="632"/>
      <c r="E3" s="632"/>
      <c r="F3" s="632"/>
      <c r="G3" s="632"/>
      <c r="H3" s="632"/>
      <c r="I3" s="632"/>
      <c r="J3" s="632"/>
    </row>
    <row r="4" spans="1:10">
      <c r="A4" s="490" t="s">
        <v>412</v>
      </c>
      <c r="B4" s="490"/>
      <c r="C4" s="490"/>
      <c r="D4" s="490"/>
      <c r="E4" s="490"/>
      <c r="F4" s="490"/>
      <c r="G4" s="490"/>
      <c r="H4" s="490"/>
      <c r="I4" s="490"/>
      <c r="J4" s="490"/>
    </row>
    <row r="5" spans="1:10">
      <c r="A5" s="490" t="s">
        <v>5</v>
      </c>
      <c r="B5" s="490"/>
      <c r="C5" s="490"/>
      <c r="D5" s="490"/>
      <c r="E5" s="490"/>
      <c r="F5" s="490"/>
      <c r="G5" s="490"/>
      <c r="H5" s="490"/>
      <c r="I5" s="490"/>
      <c r="J5" s="490"/>
    </row>
    <row r="6" spans="1:10" s="126" customFormat="1" ht="13.8" thickBot="1">
      <c r="A6" s="161"/>
      <c r="B6" s="161"/>
      <c r="C6" s="161"/>
      <c r="D6" s="161"/>
      <c r="E6" s="161"/>
      <c r="F6" s="161"/>
      <c r="G6" s="161"/>
      <c r="H6" s="161"/>
      <c r="I6" s="161"/>
      <c r="J6" s="162" t="s">
        <v>413</v>
      </c>
    </row>
    <row r="7" spans="1:10" ht="39.6">
      <c r="A7" s="410" t="s">
        <v>414</v>
      </c>
      <c r="B7" s="163" t="s">
        <v>415</v>
      </c>
      <c r="C7" s="163" t="s">
        <v>416</v>
      </c>
      <c r="D7" s="163" t="s">
        <v>417</v>
      </c>
      <c r="E7" s="163" t="s">
        <v>418</v>
      </c>
      <c r="F7" s="163" t="s">
        <v>419</v>
      </c>
      <c r="G7" s="163" t="s">
        <v>420</v>
      </c>
      <c r="H7" s="163" t="s">
        <v>421</v>
      </c>
      <c r="I7"/>
      <c r="J7"/>
    </row>
    <row r="8" spans="1:10">
      <c r="A8" s="128" t="s">
        <v>325</v>
      </c>
      <c r="B8" s="164">
        <f>NonAOIStudCntPSDCY</f>
        <v>0</v>
      </c>
      <c r="C8" s="164">
        <v>0</v>
      </c>
      <c r="D8" s="164">
        <v>0</v>
      </c>
      <c r="E8" s="164">
        <f>IF(AND(B8=0,C8=0,D8=0),0,1.45)</f>
        <v>0</v>
      </c>
      <c r="F8" s="164">
        <f>B8*E8</f>
        <v>0</v>
      </c>
      <c r="G8" s="164">
        <f>E8*C8</f>
        <v>0</v>
      </c>
      <c r="H8" s="164">
        <f>E8*D8</f>
        <v>0</v>
      </c>
      <c r="I8"/>
      <c r="J8"/>
    </row>
    <row r="9" spans="1:10">
      <c r="A9" s="128" t="s">
        <v>422</v>
      </c>
      <c r="B9" s="164">
        <f>NonAOIStudCntK8CY</f>
        <v>135</v>
      </c>
      <c r="C9" s="164">
        <f>AOIFTStudCntK8CY</f>
        <v>0</v>
      </c>
      <c r="D9" s="164">
        <f>AOIPTStudCntK8CY</f>
        <v>0</v>
      </c>
      <c r="E9" s="164">
        <f>IF(AND(B9=0,C9=0,D9=0),0,IF(OR('Data Entry'!B8="X",'Data Entry'!B9="X",'Data Entry'!B10="X",'Data Entry'!B11="X"),Calculations!L58,Calculations!L57))</f>
        <v>1.3875</v>
      </c>
      <c r="F9" s="164">
        <f>B9*E9</f>
        <v>187.3125</v>
      </c>
      <c r="G9" s="164">
        <f>E9*C9</f>
        <v>0</v>
      </c>
      <c r="H9" s="164">
        <f>E9*D9</f>
        <v>0</v>
      </c>
      <c r="I9"/>
      <c r="J9"/>
    </row>
    <row r="10" spans="1:10">
      <c r="A10" s="128" t="s">
        <v>327</v>
      </c>
      <c r="B10" s="164">
        <f>NonAOIStudCnt912CY</f>
        <v>135</v>
      </c>
      <c r="C10" s="164">
        <f>AOIFTStudCnt912CY</f>
        <v>0</v>
      </c>
      <c r="D10" s="164">
        <f>AOIPTStudCnt912CY</f>
        <v>0</v>
      </c>
      <c r="E10" s="164">
        <f>IF(AND(B10=0,C10=0,D10=0),0,IF(OR('Data Entry'!B8="X",'Data Entry'!B9="X",'Data Entry'!B10="X",'Data Entry'!B11="X"),Calculations!N58,Calculations!N57))</f>
        <v>1.544</v>
      </c>
      <c r="F10" s="164">
        <f>B10*E10</f>
        <v>208.44</v>
      </c>
      <c r="G10" s="164">
        <f>E10*C10</f>
        <v>0</v>
      </c>
      <c r="H10" s="164">
        <f>E10*D10</f>
        <v>0</v>
      </c>
      <c r="I10"/>
      <c r="J10"/>
    </row>
    <row r="11" spans="1:10">
      <c r="A11" s="165" t="s">
        <v>423</v>
      </c>
      <c r="B11" s="166">
        <f>SUM(B8:B10)</f>
        <v>270</v>
      </c>
      <c r="C11" s="167">
        <f>SUM(C8:C10)</f>
        <v>0</v>
      </c>
      <c r="D11" s="167">
        <f>SUM(D8:D10)</f>
        <v>0</v>
      </c>
      <c r="E11" s="168"/>
      <c r="F11" s="168"/>
      <c r="G11" s="168"/>
      <c r="H11" s="168"/>
      <c r="I11"/>
      <c r="J11"/>
    </row>
    <row r="12" spans="1:10" ht="12.75" customHeight="1">
      <c r="A12" s="169" t="s">
        <v>424</v>
      </c>
      <c r="B12" s="170"/>
      <c r="C12" s="168"/>
      <c r="D12" s="167">
        <f>SUM(B11:D11)</f>
        <v>270</v>
      </c>
      <c r="E12" s="168"/>
      <c r="F12" s="168"/>
      <c r="G12" s="168"/>
      <c r="H12" s="168"/>
      <c r="I12"/>
      <c r="J12"/>
    </row>
    <row r="13" spans="1:10" ht="12.75" customHeight="1">
      <c r="A13" s="95" t="s">
        <v>425</v>
      </c>
      <c r="B13" s="171"/>
      <c r="C13" s="168"/>
      <c r="D13" s="168"/>
      <c r="E13" s="168"/>
      <c r="F13" s="167">
        <f>((B8*E8)+(B9*E9)+(B10*E10))</f>
        <v>395.7525</v>
      </c>
      <c r="G13" s="167">
        <f>((C8*E8)+(C9*E9)+(C10*E10))</f>
        <v>0</v>
      </c>
      <c r="H13" s="167">
        <f>((D8*E8)+(D9*E9)+(D10*E10))</f>
        <v>0</v>
      </c>
      <c r="I13"/>
      <c r="J13"/>
    </row>
    <row r="14" spans="1:10" ht="12.75" customHeight="1" thickBot="1">
      <c r="A14" s="172" t="s">
        <v>426</v>
      </c>
      <c r="B14" s="173"/>
      <c r="C14" s="173"/>
      <c r="D14" s="173"/>
      <c r="E14" s="173"/>
      <c r="F14" s="174"/>
      <c r="G14" s="174"/>
      <c r="H14" s="175">
        <f>((B8*E8)+(B9*E9)+(B10*E10))+((C8*E8)+(C9*E9)+(C10*E10))+((D8*E8)+(D9*E9)+(D10*E10))</f>
        <v>395.7525</v>
      </c>
      <c r="I14" s="161"/>
      <c r="J14" s="161"/>
    </row>
    <row r="15" spans="1:10" ht="39" customHeight="1">
      <c r="A15" s="176" t="s">
        <v>427</v>
      </c>
      <c r="B15" s="177" t="s">
        <v>415</v>
      </c>
      <c r="C15" s="177" t="s">
        <v>416</v>
      </c>
      <c r="D15" s="177" t="s">
        <v>417</v>
      </c>
      <c r="E15" s="177" t="s">
        <v>418</v>
      </c>
      <c r="F15" s="177" t="s">
        <v>419</v>
      </c>
      <c r="G15" s="177" t="s">
        <v>420</v>
      </c>
      <c r="H15" s="177" t="s">
        <v>421</v>
      </c>
      <c r="I15"/>
      <c r="J15"/>
    </row>
    <row r="16" spans="1:10">
      <c r="A16" s="409" t="s">
        <v>428</v>
      </c>
      <c r="B16" s="164">
        <f>NonAOIStudCntELL</f>
        <v>41</v>
      </c>
      <c r="C16" s="164">
        <f>AOIFTStudCntELL</f>
        <v>0</v>
      </c>
      <c r="D16" s="164">
        <f>AOIPTStudCntELL</f>
        <v>0</v>
      </c>
      <c r="E16" s="164">
        <v>0.115</v>
      </c>
      <c r="F16" s="164">
        <f>E16*NonAOIStudCntELL</f>
        <v>4.7149999999999999</v>
      </c>
      <c r="G16" s="164">
        <f>E16*AOIFTStudCntELL</f>
        <v>0</v>
      </c>
      <c r="H16" s="164">
        <f>E16*AOIPTStudCntELL</f>
        <v>0</v>
      </c>
      <c r="I16"/>
      <c r="J16"/>
    </row>
    <row r="17" spans="1:10">
      <c r="A17" s="409" t="s">
        <v>342</v>
      </c>
      <c r="B17" s="164">
        <f>NonAOIStudCntK3</f>
        <v>44</v>
      </c>
      <c r="C17" s="164">
        <f>AOIFTStudCntK3</f>
        <v>0</v>
      </c>
      <c r="D17" s="164">
        <f>AOIPTStudCntK3</f>
        <v>0</v>
      </c>
      <c r="E17" s="164">
        <v>0.06</v>
      </c>
      <c r="F17" s="164">
        <f>E17*NonAOIStudCntK3</f>
        <v>2.64</v>
      </c>
      <c r="G17" s="164">
        <f>E17*AOIFTStudCntK3</f>
        <v>0</v>
      </c>
      <c r="H17" s="164">
        <f>E17*AOIPTStudCntK3</f>
        <v>0</v>
      </c>
      <c r="I17"/>
      <c r="J17"/>
    </row>
    <row r="18" spans="1:10" ht="12.75" customHeight="1">
      <c r="A18" s="409" t="s">
        <v>429</v>
      </c>
      <c r="B18" s="164">
        <f>NonAOIStudCntK3Read</f>
        <v>44</v>
      </c>
      <c r="C18" s="164">
        <f>AOIFTStudCntK3Read</f>
        <v>0</v>
      </c>
      <c r="D18" s="164">
        <f>AOIPTStudCntK3Read</f>
        <v>0</v>
      </c>
      <c r="E18" s="164">
        <v>0.04</v>
      </c>
      <c r="F18" s="164">
        <f>E18*NonAOIStudCntK3Read</f>
        <v>1.76</v>
      </c>
      <c r="G18" s="164">
        <f>E18*AOIFTStudCntK3Read</f>
        <v>0</v>
      </c>
      <c r="H18" s="164">
        <f>E18*AOIPTStudCntK3Read</f>
        <v>0</v>
      </c>
      <c r="I18"/>
      <c r="J18"/>
    </row>
    <row r="19" spans="1:10" ht="11.25" customHeight="1">
      <c r="A19" s="409" t="s">
        <v>430</v>
      </c>
      <c r="B19" s="164">
        <f>NonAOIStudCntHI</f>
        <v>0</v>
      </c>
      <c r="C19" s="164">
        <f>AOIFTStudCntHI</f>
        <v>0</v>
      </c>
      <c r="D19" s="164">
        <f>AOIPTStudCntHI</f>
        <v>0</v>
      </c>
      <c r="E19" s="164">
        <v>4.7709999999999999</v>
      </c>
      <c r="F19" s="164">
        <f>E19*NonAOIStudCntHI</f>
        <v>0</v>
      </c>
      <c r="G19" s="164">
        <f>E19*AOIFTStudCntHI</f>
        <v>0</v>
      </c>
      <c r="H19" s="164">
        <f>E19*AOIPTStudCntHI</f>
        <v>0</v>
      </c>
      <c r="I19"/>
      <c r="J19"/>
    </row>
    <row r="20" spans="1:10">
      <c r="A20" s="178" t="s">
        <v>431</v>
      </c>
      <c r="B20" s="164">
        <f>NonAOIStudCntMDR.AR.SIDR</f>
        <v>2</v>
      </c>
      <c r="C20" s="164">
        <f>AOIFTStudCntMDR.AR.SIDR</f>
        <v>0</v>
      </c>
      <c r="D20" s="164">
        <f>AOIPTStudCntMDR.AR.SIDR</f>
        <v>0</v>
      </c>
      <c r="E20" s="164">
        <v>6.024</v>
      </c>
      <c r="F20" s="164">
        <f>E20*NonAOIStudCntMDR.AR.SIDR</f>
        <v>12.048</v>
      </c>
      <c r="G20" s="164">
        <f>E20*AOIFTStudCntMDR.AR.SIDR</f>
        <v>0</v>
      </c>
      <c r="H20" s="164">
        <f>E20*AOIPTStudCntMDR.AR.SIDR</f>
        <v>0</v>
      </c>
      <c r="I20"/>
      <c r="J20"/>
    </row>
    <row r="21" spans="1:10" ht="12.75" customHeight="1">
      <c r="A21" s="178" t="s">
        <v>432</v>
      </c>
      <c r="B21" s="164">
        <f>NonAOIStudCntMDSC.ASC.SIDSC</f>
        <v>0</v>
      </c>
      <c r="C21" s="164">
        <f>AOIFTStudCntMDSC.ASC.SIDSC</f>
        <v>0</v>
      </c>
      <c r="D21" s="164">
        <f>AOIPTStudCntMDSC.ASC.SIDSC</f>
        <v>0</v>
      </c>
      <c r="E21" s="164">
        <v>5.9880000000000004</v>
      </c>
      <c r="F21" s="164">
        <f>E21*NonAOIStudCntMDSC.ASC.SIDSC</f>
        <v>0</v>
      </c>
      <c r="G21" s="164">
        <f>E21*AOIFTStudCntMDSC.ASC.SIDSC</f>
        <v>0</v>
      </c>
      <c r="H21" s="164">
        <f>E21*AOIPTStudCntMDSC.ASC.SIDSC</f>
        <v>0</v>
      </c>
      <c r="I21"/>
      <c r="J21"/>
    </row>
    <row r="22" spans="1:10">
      <c r="A22" s="178" t="s">
        <v>433</v>
      </c>
      <c r="B22" s="164">
        <f>NonAOIStudCntMDSSI</f>
        <v>0</v>
      </c>
      <c r="C22" s="164">
        <f>AOIFTStudCntMDSSI</f>
        <v>0</v>
      </c>
      <c r="D22" s="164">
        <f>AOIPTStudCntMDSSI</f>
        <v>0</v>
      </c>
      <c r="E22" s="164">
        <v>7.9470000000000001</v>
      </c>
      <c r="F22" s="164">
        <f>E22*NonAOIStudCntMDSSI</f>
        <v>0</v>
      </c>
      <c r="G22" s="164">
        <f>E22*AOIFTStudCntMDSSI</f>
        <v>0</v>
      </c>
      <c r="H22" s="164">
        <f>E22*AOIPTStudCntMDSSI</f>
        <v>0</v>
      </c>
      <c r="I22"/>
      <c r="J22"/>
    </row>
    <row r="23" spans="1:10">
      <c r="A23" s="178" t="s">
        <v>434</v>
      </c>
      <c r="B23" s="164">
        <f>NonAOIStudCntOIR</f>
        <v>0</v>
      </c>
      <c r="C23" s="164">
        <f>AOIFTStudCntOIR</f>
        <v>0</v>
      </c>
      <c r="D23" s="164">
        <f>AOIPTStudCntOIR</f>
        <v>0</v>
      </c>
      <c r="E23" s="164">
        <v>3.1579999999999999</v>
      </c>
      <c r="F23" s="164">
        <f>E23*NonAOIStudCntOIR</f>
        <v>0</v>
      </c>
      <c r="G23" s="164">
        <f>E23*AOIFTStudCntOIR</f>
        <v>0</v>
      </c>
      <c r="H23" s="164">
        <f>E23*AOIPTStudCntOIR</f>
        <v>0</v>
      </c>
      <c r="I23"/>
      <c r="J23"/>
    </row>
    <row r="24" spans="1:10">
      <c r="A24" s="178" t="s">
        <v>435</v>
      </c>
      <c r="B24" s="164">
        <f>NonAOIStudCntOISC</f>
        <v>0</v>
      </c>
      <c r="C24" s="164">
        <f>AOIFTStudCntOISC</f>
        <v>0</v>
      </c>
      <c r="D24" s="164">
        <f>AOIPTStudCntOISC</f>
        <v>0</v>
      </c>
      <c r="E24" s="164">
        <v>6.7729999999999997</v>
      </c>
      <c r="F24" s="164">
        <f>E24*NonAOIStudCntOISC</f>
        <v>0</v>
      </c>
      <c r="G24" s="164">
        <f>E24*AOIFTStudCntOISC</f>
        <v>0</v>
      </c>
      <c r="H24" s="164">
        <f>E24*AOIPTStudCntOISC</f>
        <v>0</v>
      </c>
      <c r="I24"/>
      <c r="J24"/>
    </row>
    <row r="25" spans="1:10">
      <c r="A25" s="178" t="s">
        <v>436</v>
      </c>
      <c r="B25" s="164">
        <f>NonAOIStudCntP.SD</f>
        <v>0</v>
      </c>
      <c r="C25" s="164">
        <f>AOIFTStudCntP.SD</f>
        <v>0</v>
      </c>
      <c r="D25" s="164">
        <f>AOIPTStudCntP.SD</f>
        <v>0</v>
      </c>
      <c r="E25" s="164">
        <v>3.5950000000000002</v>
      </c>
      <c r="F25" s="164">
        <f>E25*NonAOIStudCntP.SD</f>
        <v>0</v>
      </c>
      <c r="G25" s="164">
        <f>E25*AOIFTStudCntP.SD</f>
        <v>0</v>
      </c>
      <c r="H25" s="164">
        <f>E25*AOIPTStudCntP.SD</f>
        <v>0</v>
      </c>
      <c r="I25"/>
      <c r="J25"/>
    </row>
    <row r="26" spans="1:10">
      <c r="A26" s="178" t="s">
        <v>437</v>
      </c>
      <c r="B26" s="164">
        <f>NonAOIStudCntDD.ED.MIID.SLD.SLI.OHI</f>
        <v>34</v>
      </c>
      <c r="C26" s="164">
        <f>AOIFTStudCntDD.ED.MIID.SLD.SLI.OHI</f>
        <v>0</v>
      </c>
      <c r="D26" s="164">
        <f>AOIPTStudCntDD.ED.MIID.SLD.SLI.OHI</f>
        <v>0</v>
      </c>
      <c r="E26" s="164">
        <v>0.29199999999999998</v>
      </c>
      <c r="F26" s="164">
        <f>E26*NonAOIStudCntDD.ED.MIID.SLD.SLI.OHI</f>
        <v>9.9280000000000008</v>
      </c>
      <c r="G26" s="164">
        <f>E26*AOIFTStudCntDD.ED.MIID.SLD.SLI.OHI</f>
        <v>0</v>
      </c>
      <c r="H26" s="164">
        <f>E26*AOIPTStudCntDD.ED.MIID.SLD.SLI.OHI</f>
        <v>0</v>
      </c>
      <c r="I26"/>
      <c r="J26"/>
    </row>
    <row r="27" spans="1:10">
      <c r="A27" s="178" t="s">
        <v>438</v>
      </c>
      <c r="B27" s="164">
        <f>NonAOIStudCntEDP</f>
        <v>0</v>
      </c>
      <c r="C27" s="164">
        <f>AOIFTStudCntEDP</f>
        <v>0</v>
      </c>
      <c r="D27" s="164">
        <f>AOIPTStudCntEDP</f>
        <v>0</v>
      </c>
      <c r="E27" s="164">
        <v>4.8220000000000001</v>
      </c>
      <c r="F27" s="164">
        <f>E27*NonAOIStudCntEDP</f>
        <v>0</v>
      </c>
      <c r="G27" s="164">
        <f>E27*AOIFTStudCntEDP</f>
        <v>0</v>
      </c>
      <c r="H27" s="164">
        <f>E27*AOIPTStudCntEDP</f>
        <v>0</v>
      </c>
      <c r="I27"/>
      <c r="J27"/>
    </row>
    <row r="28" spans="1:10">
      <c r="A28" s="178" t="s">
        <v>439</v>
      </c>
      <c r="B28" s="164">
        <f>NonAOIStudCntMOID</f>
        <v>0</v>
      </c>
      <c r="C28" s="164">
        <f>AOIFTStudCntMOID</f>
        <v>0</v>
      </c>
      <c r="D28" s="164">
        <f>AOIPTStudCntMOID</f>
        <v>0</v>
      </c>
      <c r="E28" s="164">
        <v>4.4210000000000003</v>
      </c>
      <c r="F28" s="164">
        <f>E28*NonAOIStudCntMOID</f>
        <v>0</v>
      </c>
      <c r="G28" s="164">
        <f>E28*AOIFTStudCntMOID</f>
        <v>0</v>
      </c>
      <c r="H28" s="164">
        <f>E28*AOIPTStudCntMOID</f>
        <v>0</v>
      </c>
      <c r="I28"/>
      <c r="J28"/>
    </row>
    <row r="29" spans="1:10">
      <c r="A29" s="178" t="s">
        <v>440</v>
      </c>
      <c r="B29" s="164">
        <f>NonAOIStudCntVI</f>
        <v>0</v>
      </c>
      <c r="C29" s="164">
        <f>AOIFTStudCntVI</f>
        <v>0</v>
      </c>
      <c r="D29" s="164">
        <f>AOIPTStudCntVI</f>
        <v>0</v>
      </c>
      <c r="E29" s="164">
        <v>4.806</v>
      </c>
      <c r="F29" s="164">
        <f>E29*NonAOIStudCntVI</f>
        <v>0</v>
      </c>
      <c r="G29" s="164">
        <f>E29*AOIFTStudCntVI</f>
        <v>0</v>
      </c>
      <c r="H29" s="164">
        <f>E29*AOIPTStudCntVI</f>
        <v>0</v>
      </c>
      <c r="I29"/>
      <c r="J29"/>
    </row>
    <row r="30" spans="1:10">
      <c r="A30" s="178" t="s">
        <v>441</v>
      </c>
      <c r="B30" s="164">
        <f>NonAOIStudCntG</f>
        <v>0</v>
      </c>
      <c r="C30" s="164">
        <f>AOIFTStudCntG</f>
        <v>0</v>
      </c>
      <c r="D30" s="164">
        <f>AOIPTStudCntG</f>
        <v>0</v>
      </c>
      <c r="E30" s="164">
        <v>7.0000000000000001E-3</v>
      </c>
      <c r="F30" s="164">
        <f>E30*NonAOIStudCntG</f>
        <v>0</v>
      </c>
      <c r="G30" s="164">
        <f>E30*AOIFTStudCntG</f>
        <v>0</v>
      </c>
      <c r="H30" s="164">
        <f>E30*AOIPTStudCntG</f>
        <v>0</v>
      </c>
      <c r="I30"/>
      <c r="J30"/>
    </row>
    <row r="31" spans="1:10">
      <c r="A31" s="128" t="s">
        <v>442</v>
      </c>
      <c r="B31" s="164">
        <f>NonAOIStudCntFRPL</f>
        <v>242</v>
      </c>
      <c r="C31" s="164">
        <f>AOIFTStudCntFRPL</f>
        <v>0</v>
      </c>
      <c r="D31" s="164">
        <f>AOIPTStudCntFRPL</f>
        <v>0</v>
      </c>
      <c r="E31" s="398">
        <v>2.1999999999999999E-2</v>
      </c>
      <c r="F31" s="164">
        <f>E31*NonAOIStudCntFRPL</f>
        <v>5.3239999999999998</v>
      </c>
      <c r="G31" s="164">
        <f>E31*AOIFTStudCntFRPL</f>
        <v>0</v>
      </c>
      <c r="H31" s="164">
        <f>E31*AOIPTStudCntFRPL</f>
        <v>0</v>
      </c>
      <c r="I31"/>
      <c r="J31"/>
    </row>
    <row r="32" spans="1:10">
      <c r="A32" s="179" t="s">
        <v>443</v>
      </c>
      <c r="B32" s="180">
        <f>SUM(B16:B31)</f>
        <v>407</v>
      </c>
      <c r="C32" s="167">
        <f>SUM(C16:C31)</f>
        <v>0</v>
      </c>
      <c r="D32" s="167">
        <f>SUM(D16:D31)</f>
        <v>0</v>
      </c>
      <c r="E32" s="167"/>
      <c r="F32" s="167"/>
      <c r="G32" s="167"/>
      <c r="H32" s="167"/>
      <c r="I32"/>
      <c r="J32"/>
    </row>
    <row r="33" spans="1:10">
      <c r="A33" s="181" t="s">
        <v>444</v>
      </c>
      <c r="B33" s="180"/>
      <c r="C33" s="167"/>
      <c r="D33" s="167">
        <f>SUM(B32:D32)</f>
        <v>407</v>
      </c>
      <c r="E33" s="167"/>
      <c r="F33" s="167"/>
      <c r="G33" s="167"/>
      <c r="H33" s="167"/>
      <c r="I33"/>
      <c r="J33"/>
    </row>
    <row r="34" spans="1:10" ht="12.75" customHeight="1">
      <c r="A34" s="181" t="s">
        <v>445</v>
      </c>
      <c r="B34" s="180"/>
      <c r="C34" s="167"/>
      <c r="D34" s="167"/>
      <c r="E34" s="167"/>
      <c r="F34" s="167">
        <f>((B16*E16)+(B17*E17)+(B18*E18)+(B19*E19)+(B20*E20)+(B21*E21)+(B22*E22)+(B23*E23)+(B24*E24)+(B25*E25)+(B26*E26)+(B27*E27)+(B28*E28)+(B29*E29)+(B30*E30)+(B31*E31))</f>
        <v>36.414999999999999</v>
      </c>
      <c r="G34" s="167">
        <f>((C16*E16)+(C17*E17)+(C18*E18)+(C19*E19)+(C20*E20)+(C21*E21)+(C22*E22)+(C23*E23)+(C24*E24)+(C25*E25)+(C26*E26)+(C27*E27)+(C28*E28)+(C29*E29)+(C30*E30)+(C31*E31))</f>
        <v>0</v>
      </c>
      <c r="H34" s="167">
        <f>((D16*E16)+(D17*E17)+(D18*E18)+(D19*E19)+(D20*E20)+(D21*E21)+(D22*E22)+(D23*E23)+(D24*E24)+(D25*E25)+(D26*E26)+(D27*E27)+(D28*E28)+(D29*E29)+(D30*E30)+(D31*E31))</f>
        <v>0</v>
      </c>
      <c r="I34" s="126"/>
      <c r="J34" s="126"/>
    </row>
    <row r="35" spans="1:10" s="126" customFormat="1">
      <c r="A35" s="181" t="s">
        <v>446</v>
      </c>
      <c r="B35" s="180"/>
      <c r="C35" s="182"/>
      <c r="D35" s="182"/>
      <c r="E35" s="182"/>
      <c r="F35" s="182"/>
      <c r="G35" s="182"/>
      <c r="H35" s="182">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36.414999999999999</v>
      </c>
      <c r="I35" s="183"/>
    </row>
    <row r="36" spans="1:10">
      <c r="A36" s="490" t="str">
        <f>A3</f>
        <v>Nosotros Academy</v>
      </c>
      <c r="B36" s="490"/>
      <c r="C36" s="490"/>
      <c r="D36" s="490"/>
      <c r="E36" s="490"/>
      <c r="F36" s="490"/>
      <c r="G36" s="490"/>
      <c r="H36" s="490"/>
      <c r="I36" s="490"/>
      <c r="J36" s="490"/>
    </row>
    <row r="37" spans="1:10">
      <c r="A37" s="490" t="s">
        <v>412</v>
      </c>
      <c r="B37" s="490"/>
      <c r="C37" s="490"/>
      <c r="D37" s="490"/>
      <c r="E37" s="490"/>
      <c r="F37" s="490"/>
      <c r="G37" s="490"/>
      <c r="H37" s="490"/>
      <c r="I37" s="490"/>
      <c r="J37" s="490"/>
    </row>
    <row r="38" spans="1:10">
      <c r="A38" s="490" t="s">
        <v>5</v>
      </c>
      <c r="B38" s="490"/>
      <c r="C38" s="490"/>
      <c r="D38" s="490"/>
      <c r="E38" s="490"/>
      <c r="F38" s="490"/>
      <c r="G38" s="490"/>
      <c r="H38" s="490"/>
      <c r="I38" s="490"/>
      <c r="J38" s="490"/>
    </row>
    <row r="39" spans="1:10" s="126" customFormat="1" ht="13.8" thickBot="1">
      <c r="A39" s="161"/>
      <c r="B39" s="161"/>
      <c r="C39" s="161"/>
      <c r="D39" s="161"/>
      <c r="E39" s="161"/>
      <c r="F39" s="161"/>
      <c r="G39" s="161"/>
      <c r="H39" s="161"/>
      <c r="I39" s="161"/>
      <c r="J39" s="162" t="s">
        <v>447</v>
      </c>
    </row>
    <row r="40" spans="1:10">
      <c r="A40"/>
      <c r="B40"/>
      <c r="C40"/>
      <c r="D40"/>
      <c r="E40"/>
      <c r="F40"/>
      <c r="G40"/>
      <c r="H40"/>
      <c r="I40"/>
      <c r="J40"/>
    </row>
    <row r="41" spans="1:10">
      <c r="A41" s="181" t="s">
        <v>448</v>
      </c>
      <c r="B41"/>
      <c r="C41"/>
      <c r="D41"/>
      <c r="E41"/>
      <c r="F41"/>
      <c r="G41"/>
      <c r="H41"/>
      <c r="I41"/>
      <c r="J41"/>
    </row>
    <row r="42" spans="1:10" ht="39.6">
      <c r="A42" s="184"/>
      <c r="B42"/>
      <c r="C42" s="163" t="s">
        <v>449</v>
      </c>
      <c r="D42"/>
      <c r="E42" s="163" t="s">
        <v>450</v>
      </c>
      <c r="F42"/>
      <c r="G42" s="163" t="s">
        <v>451</v>
      </c>
      <c r="H42"/>
      <c r="I42"/>
      <c r="J42"/>
    </row>
    <row r="43" spans="1:10" ht="13.5" customHeight="1">
      <c r="A43" s="114" t="s">
        <v>425</v>
      </c>
      <c r="B43"/>
      <c r="C43" s="185">
        <f>((B8*E8)+(B9*E9)+(B10*E10))</f>
        <v>395.7525</v>
      </c>
      <c r="D43"/>
      <c r="E43" s="185">
        <f>((C8*E8)+(C9*E9)+(C10*E10))</f>
        <v>0</v>
      </c>
      <c r="F43" s="168"/>
      <c r="G43" s="185">
        <f>((D8*E8)+(D9*E9)+(D10*E10))</f>
        <v>0</v>
      </c>
      <c r="H43" s="168"/>
      <c r="I43"/>
      <c r="J43"/>
    </row>
    <row r="44" spans="1:10">
      <c r="A44" s="114" t="s">
        <v>445</v>
      </c>
      <c r="B44" s="429" t="s">
        <v>330</v>
      </c>
      <c r="C44" s="185">
        <f>((B16*E16)+(B17*E17)+(B18*E18)+(B19*E19)+(B20*E20)+(B21*E21)+(B22*E22)+(B23*E23)+(B24*E24)+(B25*E25)+(B26*E26)+(B27*E27)+(B28*E28)+(B29*E29)+(B30*E30)+(B31*E31))</f>
        <v>36.414999999999999</v>
      </c>
      <c r="D44" s="429" t="s">
        <v>330</v>
      </c>
      <c r="E44" s="185">
        <f>((C16*E16)+(C17*E17)+(C18*E18)+(C19*E19)+(C20*E20)+(C21*E21)+(C22*E22)+(C23*E23)+(C24*E24)+(C25*E25)+(C26*E26)+(C27*E27)+(C28*E28)+(C29*E29)+(C30*E30)+(C31*E31))</f>
        <v>0</v>
      </c>
      <c r="F44" s="186" t="s">
        <v>330</v>
      </c>
      <c r="G44" s="185">
        <f>((D16*E16)+(D17*E17)+(D18*E18)+(D19*E19)+(D20*E20)+(D21*E21)+(D22*E22)+(D23*E23)+(D24*E24)+(D25*E25)+(D26*E26)+(D27*E27)+(D28*E28)+(D29*E29)+(D30*E30)+(D31*E31))</f>
        <v>0</v>
      </c>
      <c r="H44" s="168"/>
      <c r="I44"/>
      <c r="J44"/>
    </row>
    <row r="45" spans="1:10">
      <c r="A45" s="114" t="s">
        <v>452</v>
      </c>
      <c r="B45" s="429" t="s">
        <v>333</v>
      </c>
      <c r="C45" s="185">
        <f>((B8*E8)+(B9*E9)+(B10*E10))+((B16*E16)+(B17*E17)+(B18*E18)+(B19*E19)+(B20*E20)+(B21*E21)+(B22*E22)+(B23*E23)+(B24*E24)+(B25*E25)+(B26*E26)+(B27*E27)+(B28*E28)+(B29*E29)+(B30*E30)+(B31*E31))</f>
        <v>432.16750000000002</v>
      </c>
      <c r="D45" s="429" t="s">
        <v>333</v>
      </c>
      <c r="E45" s="185">
        <f>((C8*E8)+(C9*E9)+(C10*E10))+((C16*E16)+(C17*E17)+(C18*E18)+(C19*E19)+(C20*E20)+(C21*E21)+(C22*E22)+(C23*E23)+(C24*E24)+(C25*E25)+(C26*E26)+(C27*E27)+(C28*E28)+(C29*E29)+(C30*E30)+(C31*E31))</f>
        <v>0</v>
      </c>
      <c r="F45" s="186" t="s">
        <v>333</v>
      </c>
      <c r="G45" s="185">
        <f>((D8*E8)+(D9*E9)+(D10*E10))+((D16*E16)+(D17*E17)+(D18*E18)+(D19*E19)+(D20*E20)+(D21*E21)+(D22*E22)+(D23*E23)+(D24*E24)+(D25*E25)+(D26*E26)+(D27*E27)+(D28*E28)+(D29*E29)+(D30*E30)+(D31*E31))</f>
        <v>0</v>
      </c>
      <c r="H45" s="168"/>
      <c r="I45"/>
      <c r="J45"/>
    </row>
    <row r="46" spans="1:10">
      <c r="A46" s="114" t="s">
        <v>453</v>
      </c>
      <c r="B46" s="429" t="s">
        <v>299</v>
      </c>
      <c r="C46" s="185">
        <v>1</v>
      </c>
      <c r="D46" s="429" t="s">
        <v>299</v>
      </c>
      <c r="E46" s="185">
        <v>0.95</v>
      </c>
      <c r="F46" s="186" t="s">
        <v>299</v>
      </c>
      <c r="G46" s="185">
        <v>0.85</v>
      </c>
      <c r="H46" s="168"/>
      <c r="I46"/>
      <c r="J46"/>
    </row>
    <row r="47" spans="1:10">
      <c r="A47" s="114" t="s">
        <v>454</v>
      </c>
      <c r="B47" s="429" t="s">
        <v>333</v>
      </c>
      <c r="C47" s="185">
        <f>(((B8*E8)+(B9*E9)+(B10*E10))+((B16*E16)+(B17*E17)+(B18*E18)+(B19*E19)+(B20*E20)+(B21*E21)+(B22*E22)+(B23*E23)+(B24*E24)+(B25*E25)+(B26*E26)+(B27*E27)+(B28*E28)+(B29*E29)+(B30*E30)+(B31*E31))*C46)</f>
        <v>432.16750000000002</v>
      </c>
      <c r="D47" s="429" t="s">
        <v>333</v>
      </c>
      <c r="E47" s="185">
        <f>(((C8*E8)+(C9*E9)+(C10*E10))+((C16*E16)+(C17*E17)+(C18*E18)+(C19*E19)+(C20*E20)+(C21*E21)+(C22*E22)+(C23*E23)+(C24*E24)+(C25*E25)+(C26*E26)+(C27*E27)+(C28*E28)+(C29*E29)+(C30*E30)+(C31*E31)))*E46</f>
        <v>0</v>
      </c>
      <c r="F47" s="186" t="s">
        <v>333</v>
      </c>
      <c r="G47" s="185">
        <f>((((D8*E8)+(D9*E9)+(D10*E10))+((D16*E16)+(D17*E17)+(D18*E18)+(D19*E19)+(D20*E20)+(D21*E21)+(D22*E22)+(D23*E23)+(D24*E24)+(D25*E25)+(D26*E26)+(D27*E27)+(D28*E28)+(D29*E29)+(D30*E30)+(D31*E31)))*G46)</f>
        <v>0</v>
      </c>
      <c r="H47" s="168"/>
      <c r="I47"/>
      <c r="J47"/>
    </row>
    <row r="48" spans="1:10">
      <c r="A48"/>
      <c r="B48"/>
      <c r="C48" s="168"/>
      <c r="D48"/>
      <c r="E48" s="168"/>
      <c r="F48" s="168"/>
      <c r="G48" s="168"/>
      <c r="H48" s="168"/>
      <c r="I48"/>
      <c r="J48"/>
    </row>
    <row r="49" spans="1:10">
      <c r="A49" s="187" t="s">
        <v>455</v>
      </c>
      <c r="B49"/>
      <c r="C49" s="168"/>
      <c r="D49" s="188"/>
      <c r="E49" s="168"/>
      <c r="F49" s="168"/>
      <c r="G49" s="168"/>
      <c r="H49" s="189">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432.16750000000002</v>
      </c>
      <c r="I49"/>
      <c r="J49"/>
    </row>
    <row r="50" spans="1:10">
      <c r="A50" s="114" t="s">
        <v>456</v>
      </c>
      <c r="B50"/>
      <c r="C50" s="168"/>
      <c r="D50"/>
      <c r="E50"/>
      <c r="F50"/>
      <c r="G50"/>
      <c r="H50" s="191">
        <f>IF('Data Entry'!C64="X",(4914.71*0.05)+4914.71,4914.71)</f>
        <v>4914.71</v>
      </c>
      <c r="I50"/>
      <c r="J50"/>
    </row>
    <row r="51" spans="1:10">
      <c r="A51" s="181" t="s">
        <v>457</v>
      </c>
      <c r="B51"/>
      <c r="C51" s="185">
        <f>H49</f>
        <v>432.16750000000002</v>
      </c>
      <c r="D51" s="429" t="s">
        <v>299</v>
      </c>
      <c r="E51" s="190">
        <f>H50</f>
        <v>4914.71</v>
      </c>
      <c r="F51"/>
      <c r="G51"/>
      <c r="H51" s="191">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2123977.9300000002</v>
      </c>
      <c r="I51"/>
      <c r="J51"/>
    </row>
    <row r="52" spans="1:10">
      <c r="A52" s="181"/>
      <c r="B52"/>
      <c r="C52" s="81"/>
      <c r="D52" s="429"/>
      <c r="E52" s="105"/>
      <c r="F52"/>
      <c r="G52"/>
      <c r="H52" s="192"/>
      <c r="I52"/>
      <c r="J52"/>
    </row>
    <row r="53" spans="1:10">
      <c r="A53" s="149" t="s">
        <v>458</v>
      </c>
      <c r="B53"/>
      <c r="C53"/>
      <c r="D53"/>
      <c r="E53"/>
      <c r="F53"/>
      <c r="G53"/>
      <c r="H53" s="95"/>
      <c r="I53"/>
      <c r="J53"/>
    </row>
    <row r="54" spans="1:10">
      <c r="A54" s="149" t="s">
        <v>459</v>
      </c>
      <c r="B54"/>
      <c r="C54"/>
      <c r="D54"/>
      <c r="E54"/>
      <c r="F54"/>
      <c r="G54"/>
      <c r="H54" s="191">
        <f>ROUND(NonFedAuditExp,0)</f>
        <v>17509</v>
      </c>
      <c r="I54"/>
      <c r="J54"/>
    </row>
    <row r="55" spans="1:10">
      <c r="A55" s="149" t="s">
        <v>460</v>
      </c>
      <c r="B55"/>
      <c r="C55"/>
      <c r="D55"/>
      <c r="E55"/>
      <c r="F55"/>
      <c r="G55"/>
      <c r="H55" s="191">
        <f>ROUND(RemoteTimeAdjustment,0)</f>
        <v>0</v>
      </c>
      <c r="I55"/>
      <c r="J55"/>
    </row>
    <row r="56" spans="1:10">
      <c r="A56" s="149"/>
      <c r="B56"/>
      <c r="C56"/>
      <c r="D56"/>
      <c r="E56"/>
      <c r="F56"/>
      <c r="G56"/>
      <c r="H56" s="191"/>
      <c r="I56"/>
      <c r="J56"/>
    </row>
    <row r="57" spans="1:10">
      <c r="A57"/>
      <c r="B57"/>
      <c r="C57"/>
      <c r="D57"/>
      <c r="E57"/>
      <c r="F57"/>
      <c r="G57"/>
      <c r="H57" s="1"/>
      <c r="I57"/>
      <c r="J57"/>
    </row>
    <row r="58" spans="1:10">
      <c r="A58" s="150" t="s">
        <v>461</v>
      </c>
      <c r="B58"/>
      <c r="C58" s="190">
        <f>H51</f>
        <v>2123977.9300000002</v>
      </c>
      <c r="D58" s="429" t="s">
        <v>330</v>
      </c>
      <c r="E58" s="190">
        <f>H54+H55</f>
        <v>17509</v>
      </c>
      <c r="F58"/>
      <c r="G58"/>
      <c r="H58" s="191">
        <f>C58+E58</f>
        <v>2141486.9300000002</v>
      </c>
      <c r="I58"/>
      <c r="J58"/>
    </row>
    <row r="59" spans="1:10">
      <c r="A59"/>
      <c r="B59"/>
      <c r="C59"/>
      <c r="D59"/>
      <c r="E59"/>
      <c r="F59"/>
      <c r="G59"/>
      <c r="H59"/>
      <c r="I59"/>
      <c r="J59"/>
    </row>
    <row r="60" spans="1:10" ht="11.25" customHeight="1">
      <c r="A60" s="490" t="str">
        <f>A3</f>
        <v>Nosotros Academy</v>
      </c>
      <c r="B60" s="490"/>
      <c r="C60" s="490"/>
      <c r="D60" s="490"/>
      <c r="E60" s="490"/>
      <c r="F60" s="490"/>
      <c r="G60" s="490"/>
      <c r="H60" s="490"/>
      <c r="I60" s="490"/>
      <c r="J60" s="490"/>
    </row>
    <row r="61" spans="1:10" ht="12" customHeight="1">
      <c r="A61" s="490" t="s">
        <v>412</v>
      </c>
      <c r="B61" s="490"/>
      <c r="C61" s="490"/>
      <c r="D61" s="490"/>
      <c r="E61" s="490"/>
      <c r="F61" s="490"/>
      <c r="G61" s="490"/>
      <c r="H61" s="490"/>
      <c r="I61" s="490"/>
      <c r="J61" s="490"/>
    </row>
    <row r="62" spans="1:10">
      <c r="A62" s="490" t="s">
        <v>5</v>
      </c>
      <c r="B62" s="490"/>
      <c r="C62" s="490"/>
      <c r="D62" s="490"/>
      <c r="E62" s="490"/>
      <c r="F62" s="490"/>
      <c r="G62" s="490"/>
      <c r="H62" s="490"/>
      <c r="I62" s="490"/>
      <c r="J62" s="490"/>
    </row>
    <row r="63" spans="1:10" s="126" customFormat="1" ht="13.8" thickBot="1">
      <c r="A63" s="161"/>
      <c r="B63" s="161"/>
      <c r="C63" s="161"/>
      <c r="D63" s="161"/>
      <c r="E63" s="161"/>
      <c r="F63" s="161"/>
      <c r="G63" s="161"/>
      <c r="H63" s="161"/>
      <c r="I63" s="161"/>
      <c r="J63" s="162" t="s">
        <v>462</v>
      </c>
    </row>
    <row r="64" spans="1:10">
      <c r="A64"/>
      <c r="B64"/>
      <c r="C64"/>
      <c r="D64"/>
      <c r="E64"/>
      <c r="F64"/>
      <c r="G64"/>
      <c r="H64"/>
      <c r="I64"/>
      <c r="J64"/>
    </row>
    <row r="65" spans="1:10" ht="13.8" thickBot="1">
      <c r="A65" s="162" t="s">
        <v>463</v>
      </c>
      <c r="B65"/>
      <c r="C65" s="193" t="s">
        <v>325</v>
      </c>
      <c r="D65" s="161"/>
      <c r="E65" s="193" t="s">
        <v>326</v>
      </c>
      <c r="F65" s="161"/>
      <c r="G65" s="193" t="s">
        <v>327</v>
      </c>
      <c r="H65"/>
      <c r="I65"/>
      <c r="J65"/>
    </row>
    <row r="66" spans="1:10">
      <c r="A66" s="142" t="s">
        <v>464</v>
      </c>
      <c r="B66"/>
      <c r="C66" s="194">
        <f>SUM(B8:D8)</f>
        <v>0</v>
      </c>
      <c r="D66" s="168"/>
      <c r="E66" s="194">
        <f>SUM(B9:D9)</f>
        <v>135</v>
      </c>
      <c r="F66" s="168"/>
      <c r="G66" s="194">
        <f>SUM(B10:D10)</f>
        <v>135</v>
      </c>
      <c r="H66"/>
      <c r="I66"/>
      <c r="J66"/>
    </row>
    <row r="67" spans="1:10" ht="13.8" thickBot="1">
      <c r="A67" s="114" t="s">
        <v>465</v>
      </c>
      <c r="B67" s="429" t="s">
        <v>299</v>
      </c>
      <c r="C67" s="399">
        <v>2049.12</v>
      </c>
      <c r="D67" s="400" t="s">
        <v>299</v>
      </c>
      <c r="E67" s="399">
        <v>2049.12</v>
      </c>
      <c r="F67" s="400" t="s">
        <v>299</v>
      </c>
      <c r="G67" s="399">
        <v>2388.21</v>
      </c>
      <c r="H67"/>
      <c r="I67"/>
      <c r="J67"/>
    </row>
    <row r="68" spans="1:10" ht="12" customHeight="1">
      <c r="A68" s="114" t="s">
        <v>466</v>
      </c>
      <c r="B68" s="429" t="s">
        <v>333</v>
      </c>
      <c r="C68" s="190">
        <f>C66*C67</f>
        <v>0</v>
      </c>
      <c r="D68" s="429" t="s">
        <v>333</v>
      </c>
      <c r="E68" s="190">
        <f>E66*E67</f>
        <v>276631.2</v>
      </c>
      <c r="F68" s="429" t="s">
        <v>333</v>
      </c>
      <c r="G68" s="190">
        <f>G66*G67</f>
        <v>322408.34999999998</v>
      </c>
      <c r="H68"/>
      <c r="I68"/>
      <c r="J68"/>
    </row>
    <row r="69" spans="1:10">
      <c r="A69" s="114" t="s">
        <v>467</v>
      </c>
      <c r="B69"/>
      <c r="C69"/>
      <c r="D69"/>
      <c r="E69"/>
      <c r="F69"/>
      <c r="G69"/>
      <c r="H69" s="191">
        <f>(C66*C67)+(E66*E67)+(G66*G67)</f>
        <v>599039.55000000005</v>
      </c>
      <c r="I69"/>
      <c r="J69"/>
    </row>
    <row r="70" spans="1:10">
      <c r="A70"/>
      <c r="B70"/>
      <c r="C70"/>
      <c r="D70"/>
      <c r="E70"/>
      <c r="F70"/>
      <c r="G70"/>
      <c r="H70" s="188"/>
      <c r="I70"/>
      <c r="J70"/>
    </row>
    <row r="71" spans="1:10">
      <c r="A71" s="181" t="s">
        <v>468</v>
      </c>
      <c r="B71"/>
      <c r="C71"/>
      <c r="D71"/>
      <c r="E71"/>
      <c r="F71"/>
      <c r="G71"/>
      <c r="H71" s="188"/>
      <c r="I71"/>
      <c r="J71"/>
    </row>
    <row r="72" spans="1:10">
      <c r="A72"/>
      <c r="B72"/>
      <c r="C72"/>
      <c r="D72"/>
      <c r="E72"/>
      <c r="F72"/>
      <c r="G72"/>
      <c r="H72" s="188"/>
      <c r="I72"/>
      <c r="J72"/>
    </row>
    <row r="73" spans="1:10">
      <c r="A73" s="95" t="s">
        <v>469</v>
      </c>
      <c r="B73"/>
      <c r="C73"/>
      <c r="D73"/>
      <c r="E73"/>
      <c r="F73"/>
      <c r="G73"/>
      <c r="H73" s="191">
        <f>C68+E68+G68</f>
        <v>599039.55000000005</v>
      </c>
      <c r="I73"/>
      <c r="J73"/>
    </row>
    <row r="74" spans="1:10">
      <c r="A74"/>
      <c r="B74"/>
      <c r="C74"/>
      <c r="D74"/>
      <c r="E74"/>
      <c r="F74"/>
      <c r="G74"/>
      <c r="H74" s="188"/>
      <c r="I74"/>
      <c r="J74"/>
    </row>
    <row r="75" spans="1:10">
      <c r="A75" s="95" t="s">
        <v>470</v>
      </c>
      <c r="B75"/>
      <c r="C75"/>
      <c r="D75"/>
      <c r="E75"/>
      <c r="F75"/>
      <c r="G75"/>
      <c r="H75" s="188"/>
      <c r="I75"/>
      <c r="J75"/>
    </row>
    <row r="76" spans="1:10">
      <c r="A76" t="s">
        <v>471</v>
      </c>
      <c r="B76"/>
      <c r="C76" s="190">
        <f>H58</f>
        <v>2141486.9300000002</v>
      </c>
      <c r="D76"/>
      <c r="E76"/>
      <c r="F76"/>
      <c r="G76"/>
      <c r="H76" s="188"/>
      <c r="I76"/>
      <c r="J76"/>
    </row>
    <row r="77" spans="1:10">
      <c r="A77" t="s">
        <v>472</v>
      </c>
      <c r="B77" s="429" t="s">
        <v>330</v>
      </c>
      <c r="C77" s="190">
        <f>H73</f>
        <v>599039.55000000005</v>
      </c>
      <c r="D77"/>
      <c r="E77"/>
      <c r="F77"/>
      <c r="G77"/>
      <c r="H77" s="188"/>
      <c r="I77"/>
      <c r="J77"/>
    </row>
    <row r="78" spans="1:10">
      <c r="A78"/>
      <c r="B78" s="429" t="s">
        <v>333</v>
      </c>
      <c r="C78" s="190">
        <f>C76+C77</f>
        <v>2740526.48</v>
      </c>
      <c r="D78"/>
      <c r="E78"/>
      <c r="F78"/>
      <c r="G78"/>
      <c r="H78" s="188"/>
      <c r="I78"/>
      <c r="J78"/>
    </row>
    <row r="79" spans="1:10">
      <c r="A79" s="95" t="s">
        <v>473</v>
      </c>
      <c r="B79"/>
      <c r="C79"/>
      <c r="D79"/>
      <c r="E79"/>
      <c r="F79"/>
      <c r="G79"/>
      <c r="H79" s="191">
        <f>C78</f>
        <v>2740526.48</v>
      </c>
      <c r="I79"/>
      <c r="J79"/>
    </row>
    <row r="80" spans="1:10">
      <c r="A80"/>
      <c r="B80"/>
      <c r="C80"/>
      <c r="D80"/>
      <c r="E80"/>
      <c r="F80"/>
      <c r="G80"/>
      <c r="H80" s="188"/>
      <c r="I80"/>
      <c r="J80"/>
    </row>
    <row r="81" spans="1:10">
      <c r="A81"/>
      <c r="B81"/>
      <c r="C81"/>
      <c r="D81"/>
      <c r="E81"/>
      <c r="F81"/>
      <c r="G81"/>
      <c r="H81" s="188"/>
      <c r="I81"/>
      <c r="J81"/>
    </row>
    <row r="82" spans="1:10">
      <c r="A82"/>
      <c r="B82"/>
      <c r="C82"/>
      <c r="D82"/>
      <c r="E82"/>
      <c r="F82"/>
      <c r="G82"/>
      <c r="H82" s="191">
        <f>H79</f>
        <v>2740526.48</v>
      </c>
      <c r="I82"/>
      <c r="J82"/>
    </row>
    <row r="83" spans="1:10">
      <c r="A83"/>
      <c r="B83"/>
      <c r="C83"/>
      <c r="D83"/>
      <c r="E83"/>
      <c r="F83"/>
      <c r="G83"/>
      <c r="H83" s="40"/>
      <c r="I83"/>
      <c r="J83"/>
    </row>
    <row r="95" spans="1:10" ht="11.25" customHeight="1"/>
    <row r="96" spans="1:10" ht="42" customHeight="1"/>
    <row r="103" s="125" customFormat="1" ht="42" customHeight="1"/>
    <row r="125" s="125" customFormat="1" ht="42" customHeight="1"/>
    <row r="178" s="125" customFormat="1"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6" fitToHeight="0" orientation="landscape" r:id="rId1"/>
  <headerFooter>
    <oddFooter>&amp;L&amp;"Arial,Bold"Rev. 5/24 Arizona Department of Education and Auditor General&amp;R&amp;"Arial,Bold"BSA55</oddFooter>
  </headerFooter>
  <rowBreaks count="2" manualBreakCount="2">
    <brk id="35" max="16383" man="1"/>
    <brk id="5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pane ySplit="1" topLeftCell="A24" activePane="bottomLeft" state="frozen"/>
      <selection activeCell="D12" sqref="D12:H12"/>
      <selection pane="bottomLeft" activeCell="B7" sqref="B7"/>
    </sheetView>
  </sheetViews>
  <sheetFormatPr defaultColWidth="9.44140625" defaultRowHeight="13.2"/>
  <cols>
    <col min="1" max="1" width="13" style="127" customWidth="1"/>
    <col min="2" max="2" width="23.44140625" style="128" customWidth="1"/>
    <col min="3" max="3" width="88.5546875" style="149" customWidth="1"/>
    <col min="4" max="4" width="26.44140625" style="142" customWidth="1"/>
    <col min="6" max="6" width="89" customWidth="1"/>
  </cols>
  <sheetData>
    <row r="1" spans="1:6" ht="51.75" customHeight="1">
      <c r="A1" s="154" t="s">
        <v>474</v>
      </c>
      <c r="B1" s="154" t="s">
        <v>475</v>
      </c>
      <c r="C1" s="155" t="s">
        <v>476</v>
      </c>
      <c r="D1" s="154" t="s">
        <v>477</v>
      </c>
    </row>
    <row r="2" spans="1:6" ht="234.75" customHeight="1">
      <c r="A2" s="156" t="s">
        <v>478</v>
      </c>
      <c r="B2" s="128" t="s">
        <v>479</v>
      </c>
      <c r="C2" s="114" t="s">
        <v>480</v>
      </c>
      <c r="D2" s="114"/>
      <c r="F2" s="149"/>
    </row>
    <row r="3" spans="1:6" ht="44.25" customHeight="1">
      <c r="A3" s="156" t="s">
        <v>478</v>
      </c>
      <c r="B3" s="128" t="s">
        <v>2</v>
      </c>
      <c r="C3" s="114" t="s">
        <v>481</v>
      </c>
    </row>
    <row r="4" spans="1:6" ht="76.5" customHeight="1">
      <c r="A4" s="156" t="s">
        <v>478</v>
      </c>
      <c r="B4" s="128" t="s">
        <v>21</v>
      </c>
      <c r="C4" s="114" t="s">
        <v>482</v>
      </c>
    </row>
    <row r="5" spans="1:6" ht="37.5" customHeight="1">
      <c r="A5" s="156" t="s">
        <v>478</v>
      </c>
      <c r="B5" s="128" t="s">
        <v>483</v>
      </c>
      <c r="C5" s="114" t="s">
        <v>484</v>
      </c>
    </row>
    <row r="6" spans="1:6" ht="112.5" customHeight="1">
      <c r="A6" s="156" t="s">
        <v>478</v>
      </c>
      <c r="B6" s="128" t="s">
        <v>290</v>
      </c>
      <c r="C6" s="114" t="s">
        <v>485</v>
      </c>
    </row>
    <row r="7" spans="1:6" ht="38.700000000000003" customHeight="1">
      <c r="A7" s="157" t="s">
        <v>486</v>
      </c>
      <c r="B7" s="128" t="s">
        <v>486</v>
      </c>
      <c r="C7" s="114" t="s">
        <v>487</v>
      </c>
    </row>
    <row r="8" spans="1:6" ht="166.2" customHeight="1">
      <c r="A8" s="433" t="s">
        <v>488</v>
      </c>
      <c r="B8" s="402" t="s">
        <v>488</v>
      </c>
      <c r="C8" s="407" t="s">
        <v>489</v>
      </c>
      <c r="D8" s="408" t="s">
        <v>490</v>
      </c>
    </row>
    <row r="9" spans="1:6" ht="175.95" customHeight="1">
      <c r="A9" s="469">
        <v>1</v>
      </c>
      <c r="B9" s="128" t="s">
        <v>479</v>
      </c>
      <c r="C9" s="142" t="s">
        <v>557</v>
      </c>
      <c r="D9" s="470"/>
      <c r="F9" s="142"/>
    </row>
    <row r="10" spans="1:6" ht="87.75" customHeight="1">
      <c r="A10" s="156">
        <v>1</v>
      </c>
      <c r="B10" s="128" t="s">
        <v>491</v>
      </c>
      <c r="C10" s="114" t="s">
        <v>492</v>
      </c>
    </row>
    <row r="11" spans="1:6" ht="17.25" customHeight="1">
      <c r="A11" s="156"/>
      <c r="C11" s="158" t="s">
        <v>493</v>
      </c>
    </row>
    <row r="12" spans="1:6" ht="49.5" customHeight="1">
      <c r="A12" s="156">
        <v>1</v>
      </c>
      <c r="B12" s="128" t="s">
        <v>494</v>
      </c>
      <c r="C12" s="114" t="s">
        <v>495</v>
      </c>
    </row>
    <row r="13" spans="1:6" ht="47.25" customHeight="1">
      <c r="A13" s="401">
        <v>1</v>
      </c>
      <c r="B13" s="402" t="s">
        <v>496</v>
      </c>
      <c r="C13" s="408" t="s">
        <v>497</v>
      </c>
      <c r="D13" s="408" t="s">
        <v>498</v>
      </c>
    </row>
    <row r="14" spans="1:6" ht="81.75" customHeight="1">
      <c r="A14" s="156">
        <v>2</v>
      </c>
      <c r="B14" s="128" t="s">
        <v>148</v>
      </c>
      <c r="C14" s="142" t="s">
        <v>499</v>
      </c>
      <c r="D14" s="159"/>
    </row>
    <row r="15" spans="1:6" ht="133.5" customHeight="1">
      <c r="A15" s="156">
        <v>2</v>
      </c>
      <c r="B15" s="128" t="s">
        <v>500</v>
      </c>
      <c r="C15" s="114" t="s">
        <v>501</v>
      </c>
    </row>
    <row r="16" spans="1:6" ht="127.5" customHeight="1">
      <c r="A16" s="156">
        <v>2</v>
      </c>
      <c r="B16" s="128" t="s">
        <v>502</v>
      </c>
      <c r="C16" s="142" t="s">
        <v>503</v>
      </c>
    </row>
    <row r="17" spans="1:6" ht="52.5" customHeight="1">
      <c r="A17" s="395">
        <v>2</v>
      </c>
      <c r="B17" s="396" t="s">
        <v>217</v>
      </c>
      <c r="C17" s="394" t="s">
        <v>504</v>
      </c>
      <c r="D17" s="403"/>
    </row>
    <row r="18" spans="1:6" ht="125.25" customHeight="1">
      <c r="A18" s="469">
        <v>2</v>
      </c>
      <c r="B18" s="128" t="s">
        <v>223</v>
      </c>
      <c r="C18" s="142" t="s">
        <v>558</v>
      </c>
      <c r="D18" s="470"/>
      <c r="F18" s="142"/>
    </row>
    <row r="19" spans="1:6" ht="45.75" customHeight="1">
      <c r="A19" s="156">
        <v>2</v>
      </c>
      <c r="B19" s="128" t="s">
        <v>149</v>
      </c>
      <c r="C19" s="114" t="s">
        <v>505</v>
      </c>
    </row>
    <row r="20" spans="1:6" ht="32.25" customHeight="1">
      <c r="A20" s="156">
        <v>2</v>
      </c>
      <c r="B20" s="128" t="s">
        <v>506</v>
      </c>
      <c r="C20" s="114" t="s">
        <v>507</v>
      </c>
    </row>
    <row r="21" spans="1:6" ht="54" customHeight="1">
      <c r="A21" s="156">
        <v>2</v>
      </c>
      <c r="B21" s="128" t="s">
        <v>508</v>
      </c>
      <c r="C21" s="142" t="s">
        <v>509</v>
      </c>
      <c r="D21" s="159"/>
    </row>
    <row r="22" spans="1:6" ht="63.75" customHeight="1">
      <c r="A22" s="156">
        <v>2</v>
      </c>
      <c r="B22" s="128" t="s">
        <v>199</v>
      </c>
      <c r="C22" s="114" t="s">
        <v>510</v>
      </c>
    </row>
    <row r="23" spans="1:6" ht="116.25" customHeight="1">
      <c r="A23" s="156">
        <v>2</v>
      </c>
      <c r="B23" s="128" t="s">
        <v>511</v>
      </c>
      <c r="C23" s="114" t="s">
        <v>512</v>
      </c>
    </row>
    <row r="24" spans="1:6" ht="35.25" customHeight="1">
      <c r="A24" s="156">
        <v>2</v>
      </c>
      <c r="B24" s="128" t="s">
        <v>513</v>
      </c>
      <c r="C24" s="114" t="s">
        <v>514</v>
      </c>
    </row>
    <row r="25" spans="1:6" ht="39" customHeight="1">
      <c r="A25" s="156">
        <v>2</v>
      </c>
      <c r="B25" s="128" t="s">
        <v>515</v>
      </c>
      <c r="C25" s="114" t="s">
        <v>516</v>
      </c>
    </row>
    <row r="26" spans="1:6" ht="69.599999999999994" customHeight="1">
      <c r="A26" s="469">
        <v>2</v>
      </c>
      <c r="B26" s="128" t="s">
        <v>221</v>
      </c>
      <c r="C26" s="142" t="s">
        <v>555</v>
      </c>
      <c r="D26" s="470"/>
      <c r="F26" s="142"/>
    </row>
    <row r="27" spans="1:6" ht="105.6">
      <c r="A27" s="401">
        <v>3</v>
      </c>
      <c r="B27" s="402" t="s">
        <v>282</v>
      </c>
      <c r="C27" s="408" t="s">
        <v>517</v>
      </c>
      <c r="D27" s="404" t="s">
        <v>518</v>
      </c>
    </row>
    <row r="28" spans="1:6" ht="102" customHeight="1">
      <c r="A28" s="156">
        <v>3</v>
      </c>
      <c r="B28" s="128" t="s">
        <v>282</v>
      </c>
      <c r="C28" s="142" t="s">
        <v>519</v>
      </c>
    </row>
    <row r="29" spans="1:6" ht="84" customHeight="1">
      <c r="A29" s="469">
        <v>3</v>
      </c>
      <c r="B29" s="128" t="s">
        <v>520</v>
      </c>
      <c r="C29" s="142" t="s">
        <v>556</v>
      </c>
      <c r="D29" s="470"/>
      <c r="F29" s="142"/>
    </row>
    <row r="30" spans="1:6" ht="57.75" customHeight="1">
      <c r="A30" s="156">
        <v>4</v>
      </c>
      <c r="B30" s="128" t="s">
        <v>521</v>
      </c>
      <c r="C30" s="142" t="s">
        <v>522</v>
      </c>
    </row>
    <row r="31" spans="1:6" ht="56.25" customHeight="1">
      <c r="A31" s="156">
        <v>4</v>
      </c>
      <c r="B31" s="128" t="s">
        <v>523</v>
      </c>
      <c r="C31" s="142" t="s">
        <v>524</v>
      </c>
    </row>
    <row r="32" spans="1:6" ht="45" customHeight="1">
      <c r="A32" s="434" t="s">
        <v>525</v>
      </c>
      <c r="B32" s="128" t="s">
        <v>479</v>
      </c>
      <c r="C32" s="142" t="s">
        <v>526</v>
      </c>
    </row>
    <row r="33" spans="1:4" ht="45" customHeight="1">
      <c r="A33" s="433" t="s">
        <v>543</v>
      </c>
      <c r="B33" s="402" t="s">
        <v>527</v>
      </c>
      <c r="C33" s="408" t="s">
        <v>538</v>
      </c>
      <c r="D33" s="408" t="s">
        <v>552</v>
      </c>
    </row>
    <row r="34" spans="1:4" ht="46.5" customHeight="1">
      <c r="A34" s="433" t="s">
        <v>543</v>
      </c>
      <c r="B34" s="402" t="s">
        <v>528</v>
      </c>
      <c r="C34" s="408" t="s">
        <v>544</v>
      </c>
      <c r="D34" s="408" t="s">
        <v>552</v>
      </c>
    </row>
    <row r="35" spans="1:4" ht="47.25" customHeight="1">
      <c r="A35" s="433" t="s">
        <v>543</v>
      </c>
      <c r="B35" s="402" t="s">
        <v>529</v>
      </c>
      <c r="C35" s="408" t="s">
        <v>545</v>
      </c>
      <c r="D35" s="408" t="s">
        <v>552</v>
      </c>
    </row>
    <row r="36" spans="1:4" ht="50.25" customHeight="1">
      <c r="A36" s="433" t="s">
        <v>543</v>
      </c>
      <c r="B36" s="402" t="s">
        <v>530</v>
      </c>
      <c r="C36" s="408" t="s">
        <v>549</v>
      </c>
      <c r="D36" s="408" t="s">
        <v>552</v>
      </c>
    </row>
    <row r="37" spans="1:4" ht="56.25" customHeight="1">
      <c r="A37" s="433" t="s">
        <v>543</v>
      </c>
      <c r="B37" s="402" t="s">
        <v>531</v>
      </c>
      <c r="C37" s="408" t="s">
        <v>550</v>
      </c>
      <c r="D37" s="408" t="s">
        <v>552</v>
      </c>
    </row>
    <row r="38" spans="1:4" ht="61.5" customHeight="1">
      <c r="A38" s="433" t="s">
        <v>543</v>
      </c>
      <c r="B38" s="402" t="s">
        <v>532</v>
      </c>
      <c r="C38" s="408" t="s">
        <v>546</v>
      </c>
      <c r="D38" s="408" t="s">
        <v>552</v>
      </c>
    </row>
    <row r="39" spans="1:4" ht="72" customHeight="1">
      <c r="A39" s="433" t="s">
        <v>543</v>
      </c>
      <c r="B39" s="402" t="s">
        <v>533</v>
      </c>
      <c r="C39" s="408" t="s">
        <v>547</v>
      </c>
      <c r="D39" s="408" t="s">
        <v>552</v>
      </c>
    </row>
    <row r="40" spans="1:4" ht="61.5" customHeight="1">
      <c r="A40" s="433" t="s">
        <v>543</v>
      </c>
      <c r="B40" s="402" t="s">
        <v>534</v>
      </c>
      <c r="C40" s="408" t="s">
        <v>551</v>
      </c>
      <c r="D40" s="408" t="s">
        <v>552</v>
      </c>
    </row>
    <row r="41" spans="1:4" ht="48" customHeight="1">
      <c r="A41" s="433" t="s">
        <v>543</v>
      </c>
      <c r="B41" s="402" t="s">
        <v>535</v>
      </c>
      <c r="C41" s="408" t="s">
        <v>548</v>
      </c>
      <c r="D41" s="408" t="s">
        <v>552</v>
      </c>
    </row>
    <row r="42" spans="1:4" ht="39.6">
      <c r="A42" s="433" t="s">
        <v>543</v>
      </c>
      <c r="B42" s="402" t="s">
        <v>536</v>
      </c>
      <c r="C42" s="408" t="s">
        <v>537</v>
      </c>
      <c r="D42" s="408" t="s">
        <v>552</v>
      </c>
    </row>
  </sheetData>
  <sheetProtection sheet="1" objects="1" scenarios="1"/>
  <hyperlinks>
    <hyperlink ref="A2" location="Cover!A1" display="Cover" xr:uid="{00000000-0004-0000-0B00-000000000000}"/>
    <hyperlink ref="A4" location="Cover!A1" display="Cover" xr:uid="{00000000-0004-0000-0B00-000001000000}"/>
    <hyperlink ref="A9" location="'Page 1'!A1" display="'Page 1'!A1" xr:uid="{00000000-0004-0000-0B00-000002000000}"/>
    <hyperlink ref="A12" location="'Page 1'!A1" display="'Page 1'!A1" xr:uid="{00000000-0004-0000-0B00-000003000000}"/>
    <hyperlink ref="A14" location="'Page 2'!A1" display="'Page 2'!A1" xr:uid="{00000000-0004-0000-0B00-000004000000}"/>
    <hyperlink ref="A18" location="'Page 2'!A1" display="'Page 2'!A1" xr:uid="{00000000-0004-0000-0B00-000005000000}"/>
    <hyperlink ref="A23" location="'Page 2'!A1" display="'Page 2'!A1" xr:uid="{00000000-0004-0000-0B00-000006000000}"/>
    <hyperlink ref="A27" location="'Page 3'!A1" display="'Page 3'!A1" xr:uid="{00000000-0004-0000-0B00-000007000000}"/>
    <hyperlink ref="A30" location="'Page 4'!A1" display="'Page 4'!A1" xr:uid="{00000000-0004-0000-0B00-000008000000}"/>
    <hyperlink ref="A31" location="'Page 4'!A1" display="'Page 4'!A1" xr:uid="{00000000-0004-0000-0B00-000009000000}"/>
    <hyperlink ref="A10" location="'Page 1'!A1" display="'Page 1'!A1" xr:uid="{00000000-0004-0000-0B00-00000A000000}"/>
    <hyperlink ref="A13" location="'Page 1'!A1" display="'Page 1'!A1" xr:uid="{00000000-0004-0000-0B00-00000B000000}"/>
    <hyperlink ref="A19" location="'Page 2'!A1" display="'Page 2'!A1" xr:uid="{00000000-0004-0000-0B00-00000C000000}"/>
    <hyperlink ref="A22" location="'Page 2'!A1" display="'Page 2'!A1" xr:uid="{00000000-0004-0000-0B00-00000D000000}"/>
    <hyperlink ref="A5" location="Cover!A1" display="Cover" xr:uid="{00000000-0004-0000-0B00-00000E000000}"/>
    <hyperlink ref="A3" location="Cover!A1" display="Cover" xr:uid="{00000000-0004-0000-0B00-00000F000000}"/>
    <hyperlink ref="A32" location="'Budget Summary'!A1" display="Budget Summary" xr:uid="{00000000-0004-0000-0B00-000010000000}"/>
    <hyperlink ref="A24" location="'Page 2'!A1" display="'Page 2'!A1" xr:uid="{00000000-0004-0000-0B00-000011000000}"/>
    <hyperlink ref="A25" location="'Page 2'!A1" display="'Page 2'!A1" xr:uid="{00000000-0004-0000-0B00-000012000000}"/>
    <hyperlink ref="A20" location="'Page 2'!A1" display="'Page 2'!A1" xr:uid="{00000000-0004-0000-0B00-000013000000}"/>
    <hyperlink ref="A15" location="'Page 2'!A1" display="'Page 2'!A1" xr:uid="{00000000-0004-0000-0B00-000014000000}"/>
    <hyperlink ref="C11" r:id="rId1" xr:uid="{00000000-0004-0000-0B00-000015000000}"/>
    <hyperlink ref="A6" location="Cover!A1" display="Cover" xr:uid="{00000000-0004-0000-0B00-000016000000}"/>
    <hyperlink ref="A7" location="'Charter Contacts'!A1" display="Charter contact info" xr:uid="{00000000-0004-0000-0B00-000017000000}"/>
    <hyperlink ref="A16" location="'Page 2'!A1" display="'Page 2'!A1" xr:uid="{00000000-0004-0000-0B00-000018000000}"/>
    <hyperlink ref="A28" location="'Page 3'!A1" display="'Page 3'!A1" xr:uid="{00000000-0004-0000-0B00-000019000000}"/>
    <hyperlink ref="A26" location="'Page 2'!A1" display="'Page 2'!A1" xr:uid="{00000000-0004-0000-0B00-00001A000000}"/>
    <hyperlink ref="A21" location="'Page 2'!A1" display="'Page 2'!A1" xr:uid="{00000000-0004-0000-0B00-00001B000000}"/>
    <hyperlink ref="A29" location="'Page 3'!A1" display="'Page 3'!A1" xr:uid="{00000000-0004-0000-0B00-00001C000000}"/>
    <hyperlink ref="A17" location="'Page 2'!A1" display="'Page 2'!A1" xr:uid="{00000000-0004-0000-0B00-00001D000000}"/>
    <hyperlink ref="A8" location="'Charter Contacts'!A1" display="Charter management info" xr:uid="{00000000-0004-0000-0B00-00001E000000}"/>
    <hyperlink ref="A33" location="'Project balances'!A1" display="Project balances" xr:uid="{C66B4DE1-DE64-4362-921C-A18CD1E7E774}"/>
    <hyperlink ref="A34" location="'Project balances'!A1" display="Project balances" xr:uid="{2777FC7A-D323-421D-B420-4B9099F11E47}"/>
    <hyperlink ref="A35" location="'Project balances'!A1" display="Project balances" xr:uid="{92BB5D21-AF74-4D77-8AFC-D5186A425692}"/>
    <hyperlink ref="A36" location="'Project balances'!A1" display="Project balances" xr:uid="{18D59256-9713-4735-823B-32BFB03C08CA}"/>
    <hyperlink ref="A37" location="'Project balances'!A1" display="Project balances" xr:uid="{CC23C2D5-77E5-46CE-8FDA-EE1644D540AB}"/>
    <hyperlink ref="A38" location="'Project balances'!A1" display="Project balances" xr:uid="{132F67DC-B58D-4CF5-A265-60108CF2E59B}"/>
    <hyperlink ref="A39" location="'Project balances'!A1" display="Project balances" xr:uid="{AD549A89-7606-41B9-A991-91DC68810101}"/>
    <hyperlink ref="A40" location="'Project balances'!A1" display="Project balances" xr:uid="{E65151FE-B7CC-4A2C-A210-DCDB53068A94}"/>
    <hyperlink ref="A41" location="'Project balances'!A1" display="Project balances" xr:uid="{FF5D86B1-6E09-4724-9C67-1E9F687DC083}"/>
    <hyperlink ref="A42" location="'Project balances'!A1" display="Project balances" xr:uid="{EC55F25E-1DF1-4C1A-A778-604FB125AD95}"/>
  </hyperlinks>
  <pageMargins left="0.7" right="0.7" top="0.75" bottom="0.75" header="0.3" footer="0.3"/>
  <pageSetup scale="79" orientation="landscape" r:id="rId2"/>
  <headerFooter scaleWithDoc="0">
    <oddFooter>&amp;L&amp;"Arial,Bold"Rev. 5/24 Arizona Department of Education and Auditor General&amp;R&amp;"Arial,Bold"Instructions</oddFooter>
  </headerFooter>
  <rowBreaks count="2" manualBreakCount="2">
    <brk id="7" max="2" man="1"/>
    <brk id="1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6"/>
  <sheetViews>
    <sheetView showGridLines="0" topLeftCell="A27" zoomScaleNormal="100" zoomScaleSheetLayoutView="100" workbookViewId="0">
      <selection activeCell="C30" sqref="C30:D30"/>
    </sheetView>
  </sheetViews>
  <sheetFormatPr defaultColWidth="9.44140625" defaultRowHeight="13.2"/>
  <cols>
    <col min="1" max="1" width="19" customWidth="1"/>
    <col min="2" max="2" width="26.44140625" customWidth="1"/>
    <col min="3" max="3" width="9.5546875" customWidth="1"/>
    <col min="4" max="4" width="24.44140625" customWidth="1"/>
    <col min="5" max="5" width="16" customWidth="1"/>
    <col min="6" max="6" width="12.44140625" customWidth="1"/>
    <col min="7" max="7" width="41.5546875" customWidth="1"/>
    <col min="8" max="8" width="17.5546875" customWidth="1"/>
    <col min="9" max="9" width="11" customWidth="1"/>
    <col min="10" max="25" width="9.44140625" customWidth="1"/>
    <col min="26" max="26" width="9" style="196" customWidth="1"/>
  </cols>
  <sheetData>
    <row r="1" spans="1:27">
      <c r="A1" t="s">
        <v>0</v>
      </c>
      <c r="B1" s="524" t="str">
        <f>CharterName</f>
        <v>Nosotros Academy</v>
      </c>
      <c r="C1" s="524"/>
      <c r="E1" s="409" t="s">
        <v>47</v>
      </c>
      <c r="F1" s="195" t="str">
        <f>Cover!M1</f>
        <v>Pima</v>
      </c>
      <c r="G1" s="429" t="s">
        <v>2</v>
      </c>
      <c r="H1" s="430" t="str">
        <f>CTD</f>
        <v>108707000</v>
      </c>
      <c r="Y1" s="151"/>
    </row>
    <row r="2" spans="1:27">
      <c r="B2" s="197"/>
      <c r="C2" s="197"/>
      <c r="E2" s="429"/>
      <c r="F2" s="146"/>
      <c r="G2" s="429"/>
      <c r="H2" s="40"/>
      <c r="Y2" s="151"/>
    </row>
    <row r="3" spans="1:27">
      <c r="B3" s="197"/>
      <c r="C3" s="197"/>
      <c r="E3" s="429"/>
      <c r="F3" s="146"/>
      <c r="G3" s="429"/>
      <c r="H3" s="40"/>
      <c r="Y3" s="151"/>
    </row>
    <row r="4" spans="1:27">
      <c r="B4" s="197"/>
      <c r="C4" s="525" t="s">
        <v>48</v>
      </c>
      <c r="D4" s="525"/>
      <c r="E4" s="525"/>
      <c r="F4" s="525"/>
      <c r="G4" s="525"/>
      <c r="H4" s="525"/>
      <c r="Y4" s="151"/>
    </row>
    <row r="5" spans="1:27">
      <c r="Y5" s="151"/>
      <c r="Z5" s="196" t="s">
        <v>49</v>
      </c>
    </row>
    <row r="6" spans="1:27">
      <c r="C6" s="107" t="s">
        <v>50</v>
      </c>
      <c r="D6" s="107" t="s">
        <v>51</v>
      </c>
      <c r="E6" s="526" t="s">
        <v>52</v>
      </c>
      <c r="F6" s="527"/>
      <c r="G6" s="107" t="s">
        <v>53</v>
      </c>
      <c r="H6" s="107" t="s">
        <v>54</v>
      </c>
      <c r="I6" s="107" t="s">
        <v>55</v>
      </c>
      <c r="Y6" s="151"/>
      <c r="Z6" s="196" t="s">
        <v>56</v>
      </c>
      <c r="AA6" s="198"/>
    </row>
    <row r="7" spans="1:27">
      <c r="A7" s="522" t="s">
        <v>57</v>
      </c>
      <c r="B7" s="523"/>
      <c r="C7" s="24" t="s">
        <v>56</v>
      </c>
      <c r="D7" s="24" t="s">
        <v>578</v>
      </c>
      <c r="E7" s="514" t="s">
        <v>579</v>
      </c>
      <c r="F7" s="515"/>
      <c r="G7" s="201" t="s">
        <v>584</v>
      </c>
      <c r="H7" s="25">
        <v>5206241023</v>
      </c>
      <c r="I7" s="24"/>
      <c r="Y7" s="151"/>
      <c r="Z7" s="196" t="s">
        <v>58</v>
      </c>
      <c r="AA7" s="198"/>
    </row>
    <row r="8" spans="1:27">
      <c r="A8" s="522" t="s">
        <v>57</v>
      </c>
      <c r="B8" s="523"/>
      <c r="C8" s="24" t="s">
        <v>56</v>
      </c>
      <c r="D8" s="24" t="s">
        <v>580</v>
      </c>
      <c r="E8" s="509" t="s">
        <v>581</v>
      </c>
      <c r="F8" s="510"/>
      <c r="G8" s="201" t="s">
        <v>560</v>
      </c>
      <c r="H8" s="25">
        <v>5207223643</v>
      </c>
      <c r="I8" s="24"/>
      <c r="Y8" s="151"/>
      <c r="Z8" s="196" t="s">
        <v>59</v>
      </c>
      <c r="AA8" s="198"/>
    </row>
    <row r="9" spans="1:27">
      <c r="A9" s="522" t="s">
        <v>60</v>
      </c>
      <c r="B9" s="523"/>
      <c r="C9" s="24" t="s">
        <v>56</v>
      </c>
      <c r="D9" s="24" t="s">
        <v>582</v>
      </c>
      <c r="E9" s="509" t="s">
        <v>583</v>
      </c>
      <c r="F9" s="510"/>
      <c r="G9" s="202" t="s">
        <v>584</v>
      </c>
      <c r="H9" s="25">
        <v>5206241023</v>
      </c>
      <c r="I9" s="24"/>
      <c r="Y9" s="151"/>
      <c r="Z9" s="199" t="s">
        <v>61</v>
      </c>
      <c r="AA9" s="198"/>
    </row>
    <row r="10" spans="1:27">
      <c r="A10" s="522" t="s">
        <v>62</v>
      </c>
      <c r="B10" s="523"/>
      <c r="C10" s="24" t="s">
        <v>56</v>
      </c>
      <c r="D10" s="24" t="s">
        <v>580</v>
      </c>
      <c r="E10" s="509" t="s">
        <v>581</v>
      </c>
      <c r="F10" s="510"/>
      <c r="G10" s="201" t="s">
        <v>560</v>
      </c>
      <c r="H10" s="25">
        <v>5207223643</v>
      </c>
      <c r="I10" s="24"/>
      <c r="Y10" s="151"/>
      <c r="AA10" s="198"/>
    </row>
    <row r="11" spans="1:27">
      <c r="A11" s="413" t="s">
        <v>63</v>
      </c>
      <c r="B11" s="414"/>
      <c r="C11" s="24"/>
      <c r="D11" s="24"/>
      <c r="E11" s="509"/>
      <c r="F11" s="510"/>
      <c r="G11" s="202"/>
      <c r="H11" s="25"/>
      <c r="I11" s="24"/>
      <c r="Y11" s="151"/>
      <c r="Z11" s="196" t="s">
        <v>64</v>
      </c>
      <c r="AA11" s="198"/>
    </row>
    <row r="12" spans="1:27">
      <c r="A12" s="522" t="s">
        <v>65</v>
      </c>
      <c r="B12" s="523"/>
      <c r="C12" s="24" t="s">
        <v>59</v>
      </c>
      <c r="D12" s="24" t="s">
        <v>576</v>
      </c>
      <c r="E12" s="509" t="s">
        <v>577</v>
      </c>
      <c r="F12" s="510"/>
      <c r="G12" s="201" t="s">
        <v>584</v>
      </c>
      <c r="H12" s="25">
        <v>5206241023</v>
      </c>
      <c r="I12" s="24"/>
      <c r="Y12" s="151"/>
      <c r="Z12" s="196" t="s">
        <v>66</v>
      </c>
      <c r="AA12" s="198"/>
    </row>
    <row r="13" spans="1:27">
      <c r="A13" s="522" t="s">
        <v>67</v>
      </c>
      <c r="B13" s="523"/>
      <c r="C13" s="24" t="s">
        <v>59</v>
      </c>
      <c r="D13" s="24" t="s">
        <v>576</v>
      </c>
      <c r="E13" s="509" t="s">
        <v>577</v>
      </c>
      <c r="F13" s="510"/>
      <c r="G13" s="201" t="s">
        <v>584</v>
      </c>
      <c r="H13" s="25">
        <v>5206241023</v>
      </c>
      <c r="I13" s="24"/>
      <c r="Y13" s="151"/>
      <c r="AA13" s="198"/>
    </row>
    <row r="14" spans="1:27">
      <c r="A14" s="413" t="s">
        <v>68</v>
      </c>
      <c r="B14" s="414"/>
      <c r="C14" s="24"/>
      <c r="D14" s="24"/>
      <c r="E14" s="509"/>
      <c r="F14" s="510"/>
      <c r="G14" s="202"/>
      <c r="H14" s="25"/>
      <c r="I14" s="24"/>
      <c r="Y14" s="151"/>
      <c r="AA14" s="198"/>
    </row>
    <row r="15" spans="1:27">
      <c r="A15" s="413" t="s">
        <v>69</v>
      </c>
      <c r="B15" s="414"/>
      <c r="C15" s="24"/>
      <c r="D15" s="24"/>
      <c r="E15" s="509"/>
      <c r="F15" s="510"/>
      <c r="G15" s="202"/>
      <c r="H15" s="25"/>
      <c r="I15" s="24"/>
      <c r="Y15" s="151"/>
      <c r="AA15" s="198"/>
    </row>
    <row r="16" spans="1:27">
      <c r="A16" s="413" t="s">
        <v>70</v>
      </c>
      <c r="B16" s="414"/>
      <c r="C16" s="24"/>
      <c r="D16" s="24"/>
      <c r="E16" s="509"/>
      <c r="F16" s="510"/>
      <c r="G16" s="202"/>
      <c r="H16" s="25"/>
      <c r="I16" s="24"/>
      <c r="Y16" s="151"/>
      <c r="AA16" s="198"/>
    </row>
    <row r="17" spans="1:27">
      <c r="A17" s="413" t="s">
        <v>71</v>
      </c>
      <c r="B17" s="414"/>
      <c r="C17" s="24"/>
      <c r="D17" s="24"/>
      <c r="E17" s="509"/>
      <c r="F17" s="510"/>
      <c r="G17" s="202"/>
      <c r="H17" s="25"/>
      <c r="I17" s="24"/>
      <c r="Y17" s="151"/>
      <c r="AA17" s="198"/>
    </row>
    <row r="18" spans="1:27">
      <c r="A18" s="522" t="s">
        <v>72</v>
      </c>
      <c r="B18" s="523"/>
      <c r="C18" s="24" t="s">
        <v>56</v>
      </c>
      <c r="D18" s="24" t="s">
        <v>570</v>
      </c>
      <c r="E18" s="509" t="s">
        <v>573</v>
      </c>
      <c r="F18" s="510"/>
      <c r="G18" s="202" t="s">
        <v>584</v>
      </c>
      <c r="H18" s="25">
        <v>5206241023</v>
      </c>
      <c r="I18" s="24"/>
      <c r="Y18" s="151"/>
      <c r="AA18" s="198"/>
    </row>
    <row r="19" spans="1:27">
      <c r="A19" s="522" t="s">
        <v>72</v>
      </c>
      <c r="B19" s="523"/>
      <c r="C19" s="24" t="s">
        <v>56</v>
      </c>
      <c r="D19" s="24" t="s">
        <v>571</v>
      </c>
      <c r="E19" s="509" t="s">
        <v>574</v>
      </c>
      <c r="F19" s="510"/>
      <c r="G19" s="202" t="s">
        <v>584</v>
      </c>
      <c r="H19" s="25">
        <v>5206241023</v>
      </c>
      <c r="I19" s="24"/>
      <c r="Y19" s="151"/>
      <c r="AA19" s="198"/>
    </row>
    <row r="20" spans="1:27">
      <c r="A20" s="522" t="s">
        <v>72</v>
      </c>
      <c r="B20" s="523"/>
      <c r="C20" s="24" t="s">
        <v>49</v>
      </c>
      <c r="D20" s="24" t="s">
        <v>572</v>
      </c>
      <c r="E20" s="509" t="s">
        <v>575</v>
      </c>
      <c r="F20" s="510"/>
      <c r="G20" s="202" t="s">
        <v>584</v>
      </c>
      <c r="H20" s="25">
        <v>5206241023</v>
      </c>
      <c r="I20" s="24"/>
      <c r="Y20" s="151"/>
      <c r="AA20" s="198"/>
    </row>
    <row r="21" spans="1:27">
      <c r="A21" s="522" t="s">
        <v>72</v>
      </c>
      <c r="B21" s="523"/>
      <c r="C21" s="24"/>
      <c r="D21" s="24"/>
      <c r="E21" s="509"/>
      <c r="F21" s="510"/>
      <c r="G21" s="202"/>
      <c r="H21" s="25"/>
      <c r="I21" s="24"/>
      <c r="Y21" s="151"/>
      <c r="AA21" s="198"/>
    </row>
    <row r="22" spans="1:27">
      <c r="A22" s="522" t="s">
        <v>72</v>
      </c>
      <c r="B22" s="523"/>
      <c r="C22" s="24"/>
      <c r="D22" s="24"/>
      <c r="E22" s="509"/>
      <c r="F22" s="510"/>
      <c r="G22" s="202"/>
      <c r="H22" s="25"/>
      <c r="I22" s="24"/>
      <c r="Y22" s="151"/>
      <c r="AA22" s="198"/>
    </row>
    <row r="23" spans="1:27">
      <c r="A23" s="522" t="s">
        <v>72</v>
      </c>
      <c r="B23" s="523"/>
      <c r="C23" s="24"/>
      <c r="D23" s="24"/>
      <c r="E23" s="520"/>
      <c r="F23" s="521"/>
      <c r="G23" s="202"/>
      <c r="H23" s="25"/>
      <c r="I23" s="24"/>
      <c r="Y23" s="151"/>
      <c r="AA23" s="198"/>
    </row>
    <row r="24" spans="1:27">
      <c r="A24" s="522" t="s">
        <v>72</v>
      </c>
      <c r="B24" s="523"/>
      <c r="C24" s="24"/>
      <c r="D24" s="24"/>
      <c r="E24" s="509"/>
      <c r="F24" s="510"/>
      <c r="G24" s="202"/>
      <c r="H24" s="25"/>
      <c r="I24" s="24"/>
      <c r="Y24" s="151"/>
      <c r="AA24" s="198"/>
    </row>
    <row r="25" spans="1:27">
      <c r="A25" s="522" t="s">
        <v>72</v>
      </c>
      <c r="B25" s="523"/>
      <c r="C25" s="24"/>
      <c r="D25" s="24"/>
      <c r="E25" s="509"/>
      <c r="F25" s="510"/>
      <c r="G25" s="202"/>
      <c r="H25" s="25"/>
      <c r="I25" s="24"/>
      <c r="Y25" s="151"/>
      <c r="AA25" s="198"/>
    </row>
    <row r="26" spans="1:27">
      <c r="A26" s="522" t="s">
        <v>72</v>
      </c>
      <c r="B26" s="523"/>
      <c r="C26" s="24"/>
      <c r="D26" s="24"/>
      <c r="E26" s="509"/>
      <c r="F26" s="510"/>
      <c r="G26" s="202"/>
      <c r="H26" s="25"/>
      <c r="I26" s="24"/>
      <c r="Y26" s="151"/>
      <c r="AA26" s="198"/>
    </row>
    <row r="27" spans="1:27">
      <c r="A27" s="522" t="s">
        <v>72</v>
      </c>
      <c r="B27" s="523"/>
      <c r="C27" s="24"/>
      <c r="D27" s="24"/>
      <c r="E27" s="509"/>
      <c r="F27" s="510"/>
      <c r="G27" s="202"/>
      <c r="H27" s="25"/>
      <c r="I27" s="24"/>
      <c r="Y27" s="151"/>
      <c r="Z27" s="199" t="s">
        <v>73</v>
      </c>
      <c r="AA27" s="198"/>
    </row>
    <row r="28" spans="1:27">
      <c r="Y28" s="151"/>
      <c r="Z28" s="199"/>
      <c r="AA28" s="198"/>
    </row>
    <row r="29" spans="1:27">
      <c r="C29" s="513" t="s">
        <v>74</v>
      </c>
      <c r="D29" s="513"/>
      <c r="Y29" s="151"/>
      <c r="Z29" s="199" t="s">
        <v>75</v>
      </c>
      <c r="AA29" s="198"/>
    </row>
    <row r="30" spans="1:27">
      <c r="A30" s="522" t="s">
        <v>76</v>
      </c>
      <c r="B30" s="523"/>
      <c r="C30" s="514" t="s">
        <v>94</v>
      </c>
      <c r="D30" s="515"/>
      <c r="Y30" s="151"/>
      <c r="Z30" s="196" t="s">
        <v>77</v>
      </c>
      <c r="AA30" s="198"/>
    </row>
    <row r="31" spans="1:27">
      <c r="Y31" s="151"/>
      <c r="Z31" s="196" t="s">
        <v>78</v>
      </c>
      <c r="AA31" s="198"/>
    </row>
    <row r="32" spans="1:27" ht="12.75" customHeight="1">
      <c r="A32" t="s">
        <v>79</v>
      </c>
      <c r="C32" s="514" t="s">
        <v>585</v>
      </c>
      <c r="D32" s="515"/>
      <c r="F32" s="419"/>
      <c r="G32" s="419"/>
      <c r="Y32" s="151"/>
      <c r="Z32" s="199" t="s">
        <v>80</v>
      </c>
      <c r="AA32" s="198"/>
    </row>
    <row r="33" spans="1:27">
      <c r="F33" s="419"/>
      <c r="G33" s="419"/>
      <c r="Y33" s="151"/>
      <c r="Z33" s="199" t="s">
        <v>81</v>
      </c>
      <c r="AA33" s="198"/>
    </row>
    <row r="34" spans="1:27">
      <c r="A34" s="529" t="s">
        <v>82</v>
      </c>
      <c r="B34" s="529"/>
      <c r="C34" s="516" t="s">
        <v>64</v>
      </c>
      <c r="D34" s="517"/>
      <c r="F34" s="419"/>
      <c r="G34" s="419"/>
      <c r="Y34" s="151"/>
      <c r="Z34" s="196" t="s">
        <v>83</v>
      </c>
      <c r="AA34" s="198"/>
    </row>
    <row r="35" spans="1:27">
      <c r="A35" s="529"/>
      <c r="B35" s="529"/>
      <c r="C35" s="518"/>
      <c r="D35" s="519"/>
      <c r="Y35" s="151"/>
      <c r="Z35" s="196" t="s">
        <v>84</v>
      </c>
      <c r="AA35" s="198"/>
    </row>
    <row r="36" spans="1:27">
      <c r="Y36" s="151"/>
      <c r="Z36" s="196" t="s">
        <v>85</v>
      </c>
      <c r="AA36" s="198"/>
    </row>
    <row r="37" spans="1:27">
      <c r="A37" s="487" t="s">
        <v>86</v>
      </c>
      <c r="B37" s="530"/>
      <c r="C37" s="520" t="s">
        <v>586</v>
      </c>
      <c r="D37" s="521"/>
      <c r="Y37" s="151"/>
      <c r="Z37" s="199" t="s">
        <v>87</v>
      </c>
      <c r="AA37" s="198"/>
    </row>
    <row r="38" spans="1:27">
      <c r="Y38" s="151"/>
      <c r="Z38" s="196" t="s">
        <v>88</v>
      </c>
      <c r="AA38" s="198"/>
    </row>
    <row r="39" spans="1:27">
      <c r="A39" s="253" t="s">
        <v>89</v>
      </c>
      <c r="B39" s="397"/>
      <c r="C39" s="372"/>
      <c r="D39" s="372"/>
      <c r="Y39" s="151"/>
      <c r="Z39" s="199" t="s">
        <v>90</v>
      </c>
      <c r="AA39" s="198"/>
    </row>
    <row r="40" spans="1:27">
      <c r="A40" s="405" t="s">
        <v>91</v>
      </c>
      <c r="B40" s="405"/>
      <c r="C40" s="511" t="s">
        <v>587</v>
      </c>
      <c r="D40" s="511"/>
      <c r="Y40" s="151"/>
      <c r="Z40" s="199" t="s">
        <v>92</v>
      </c>
      <c r="AA40" s="198"/>
    </row>
    <row r="41" spans="1:27">
      <c r="A41" s="406" t="s">
        <v>93</v>
      </c>
      <c r="B41" s="406"/>
      <c r="C41" s="512"/>
      <c r="D41" s="512"/>
      <c r="Y41" s="151"/>
      <c r="Z41" s="199" t="s">
        <v>94</v>
      </c>
      <c r="AA41" s="198"/>
    </row>
    <row r="42" spans="1:27">
      <c r="A42" s="405" t="s">
        <v>95</v>
      </c>
      <c r="B42" s="405"/>
      <c r="C42" s="508" t="s">
        <v>588</v>
      </c>
      <c r="D42" s="508"/>
      <c r="Y42" s="151"/>
      <c r="AA42" s="198"/>
    </row>
    <row r="43" spans="1:27">
      <c r="A43" s="405" t="s">
        <v>96</v>
      </c>
      <c r="B43" s="405"/>
      <c r="C43" s="508" t="s">
        <v>592</v>
      </c>
      <c r="D43" s="508"/>
      <c r="Y43" s="151"/>
      <c r="Z43" s="199"/>
      <c r="AA43" s="198"/>
    </row>
    <row r="44" spans="1:27">
      <c r="A44" s="405" t="s">
        <v>97</v>
      </c>
      <c r="B44" s="405"/>
      <c r="C44" s="508" t="s">
        <v>589</v>
      </c>
      <c r="D44" s="508"/>
      <c r="AA44" s="198"/>
    </row>
    <row r="45" spans="1:27">
      <c r="A45" s="528" t="s">
        <v>98</v>
      </c>
      <c r="B45" s="528"/>
      <c r="C45" s="508"/>
      <c r="D45" s="508"/>
      <c r="AA45" s="198"/>
    </row>
    <row r="46" spans="1:27">
      <c r="A46" s="405" t="s">
        <v>99</v>
      </c>
      <c r="B46" s="405"/>
      <c r="C46" s="508" t="s">
        <v>590</v>
      </c>
      <c r="D46" s="508"/>
    </row>
    <row r="47" spans="1:27">
      <c r="A47" s="405" t="s">
        <v>17</v>
      </c>
      <c r="B47" s="405"/>
      <c r="C47" s="508" t="s">
        <v>591</v>
      </c>
      <c r="D47" s="508"/>
    </row>
    <row r="48" spans="1:27">
      <c r="A48" s="406" t="s">
        <v>100</v>
      </c>
      <c r="B48" s="406"/>
      <c r="C48" s="508">
        <v>85745</v>
      </c>
      <c r="D48" s="508"/>
    </row>
    <row r="50" spans="2:2" ht="14.4">
      <c r="B50" s="200"/>
    </row>
    <row r="56" spans="2:2" ht="14.4">
      <c r="B56" s="200"/>
    </row>
  </sheetData>
  <sheetProtection sheet="1" objects="1" scenarios="1"/>
  <mergeCells count="58">
    <mergeCell ref="E26:F26"/>
    <mergeCell ref="E15:F15"/>
    <mergeCell ref="E20:F20"/>
    <mergeCell ref="E21:F21"/>
    <mergeCell ref="E22:F22"/>
    <mergeCell ref="E23:F23"/>
    <mergeCell ref="E25:F25"/>
    <mergeCell ref="E24:F24"/>
    <mergeCell ref="E16:F16"/>
    <mergeCell ref="E17:F17"/>
    <mergeCell ref="E18:F18"/>
    <mergeCell ref="A45:B45"/>
    <mergeCell ref="A30:B30"/>
    <mergeCell ref="A20:B20"/>
    <mergeCell ref="A21:B21"/>
    <mergeCell ref="A22:B22"/>
    <mergeCell ref="A34:B35"/>
    <mergeCell ref="A25:B25"/>
    <mergeCell ref="A37:B37"/>
    <mergeCell ref="A23:B23"/>
    <mergeCell ref="A24:B24"/>
    <mergeCell ref="A27:B27"/>
    <mergeCell ref="A26:B26"/>
    <mergeCell ref="B1:C1"/>
    <mergeCell ref="C4:H4"/>
    <mergeCell ref="A9:B9"/>
    <mergeCell ref="E6:F6"/>
    <mergeCell ref="E7:F7"/>
    <mergeCell ref="E8:F8"/>
    <mergeCell ref="E12:F12"/>
    <mergeCell ref="E19:F19"/>
    <mergeCell ref="A13:B13"/>
    <mergeCell ref="A18:B18"/>
    <mergeCell ref="A19:B19"/>
    <mergeCell ref="A12:B12"/>
    <mergeCell ref="E13:F13"/>
    <mergeCell ref="E14:F14"/>
    <mergeCell ref="E11:F11"/>
    <mergeCell ref="E9:F9"/>
    <mergeCell ref="E10:F10"/>
    <mergeCell ref="A7:B7"/>
    <mergeCell ref="A8:B8"/>
    <mergeCell ref="A10:B10"/>
    <mergeCell ref="E27:F27"/>
    <mergeCell ref="C40:D40"/>
    <mergeCell ref="C41:D41"/>
    <mergeCell ref="C42:D42"/>
    <mergeCell ref="C43:D43"/>
    <mergeCell ref="C29:D29"/>
    <mergeCell ref="C30:D30"/>
    <mergeCell ref="C34:D35"/>
    <mergeCell ref="C32:D32"/>
    <mergeCell ref="C37:D37"/>
    <mergeCell ref="C44:D44"/>
    <mergeCell ref="C45:D45"/>
    <mergeCell ref="C46:D46"/>
    <mergeCell ref="C47:D47"/>
    <mergeCell ref="C48:D48"/>
  </mergeCells>
  <conditionalFormatting sqref="C40:D40">
    <cfRule type="expression" dxfId="6" priority="1">
      <formula>$C$40&lt;&gt;""</formula>
    </cfRule>
  </conditionalFormatting>
  <dataValidations count="11">
    <dataValidation type="list" allowBlank="1" sqref="C7:C27" xr:uid="{00000000-0002-0000-0100-000000000000}">
      <formula1>$Z$5:$Z$9</formula1>
    </dataValidation>
    <dataValidation allowBlank="1" showInputMessage="1" showErrorMessage="1" errorTitle="Email Address" error="Please enter a valid email address " promptTitle="Email Address" prompt="Please enter a valid email address. " sqref="G26:G27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7"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7:D37"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4:D35" xr:uid="{00000000-0002-0000-0100-000008000000}">
      <formula1>$Z$10:$Z$12</formula1>
    </dataValidation>
    <dataValidation type="list" showInputMessage="1" showErrorMessage="1" error="Please select a vendor from the drop down list." sqref="C30:D30" xr:uid="{00000000-0002-0000-0100-000009000000}">
      <formula1>$Z$27:$Z$41</formula1>
    </dataValidation>
    <dataValidation type="list" allowBlank="1" showInputMessage="1" showErrorMessage="1" sqref="C40:D40" xr:uid="{00000000-0002-0000-0100-00000A000000}">
      <formula1>"Charter Management Organization (CMO), Education Management Organization (EMO), Single Management (non-profit), Single Management (for-profit)"</formula1>
    </dataValidation>
  </dataValidations>
  <hyperlinks>
    <hyperlink ref="C4:H4" location="CharterContactInfo" display="CHARTER CONTACT INFORMATION" xr:uid="{00000000-0004-0000-0100-000000000000}"/>
    <hyperlink ref="A39" location="Instructions!A8" display="Charter management information" xr:uid="{00000000-0004-0000-0100-000001000000}"/>
  </hyperlinks>
  <pageMargins left="0.7" right="0.7" top="0.75" bottom="0.75" header="0.3" footer="0.3"/>
  <pageSetup scale="70" orientation="landscape" r:id="rId1"/>
  <headerFooter>
    <oddFooter>&amp;L&amp;"Arial,Bold"Rev. 5/24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topLeftCell="A19" workbookViewId="0">
      <selection activeCell="K45" sqref="K45"/>
    </sheetView>
  </sheetViews>
  <sheetFormatPr defaultColWidth="9" defaultRowHeight="12.75" customHeight="1"/>
  <cols>
    <col min="1" max="2" width="1.5546875" customWidth="1"/>
    <col min="3" max="3" width="14.5546875" customWidth="1"/>
    <col min="4" max="4" width="43.44140625" customWidth="1"/>
    <col min="5" max="5" width="4" customWidth="1"/>
    <col min="6" max="13" width="12.5546875" customWidth="1"/>
    <col min="14" max="14" width="4" style="40" customWidth="1"/>
    <col min="15" max="15" width="9" customWidth="1"/>
  </cols>
  <sheetData>
    <row r="1" spans="1:14" ht="12" customHeight="1">
      <c r="A1" t="s">
        <v>0</v>
      </c>
      <c r="D1" s="531" t="str">
        <f>CharterName</f>
        <v>Nosotros Academy</v>
      </c>
      <c r="E1" s="531"/>
      <c r="F1" s="531"/>
      <c r="H1" s="429" t="s">
        <v>1</v>
      </c>
      <c r="I1" s="532" t="str">
        <f>Cover!M1</f>
        <v>Pima</v>
      </c>
      <c r="J1" s="532"/>
      <c r="L1" s="429" t="s">
        <v>2</v>
      </c>
      <c r="M1" s="532" t="str">
        <f>CTD</f>
        <v>108707000</v>
      </c>
      <c r="N1" s="532"/>
    </row>
    <row r="2" spans="1:14" ht="3.75" customHeight="1">
      <c r="A2" s="203"/>
      <c r="B2" s="203"/>
      <c r="C2" s="203"/>
      <c r="D2" s="203"/>
      <c r="E2" s="203"/>
      <c r="F2" s="203"/>
      <c r="G2" s="203"/>
      <c r="H2" s="203"/>
      <c r="I2" s="203"/>
      <c r="J2" s="425"/>
      <c r="K2" s="425"/>
      <c r="L2" s="425"/>
      <c r="M2" s="425"/>
    </row>
    <row r="3" spans="1:14" ht="12" customHeight="1">
      <c r="B3" s="204"/>
      <c r="F3" s="205"/>
      <c r="H3" s="205" t="s">
        <v>101</v>
      </c>
      <c r="I3" s="205"/>
      <c r="J3" s="205"/>
      <c r="K3" s="206" t="s">
        <v>102</v>
      </c>
      <c r="L3" s="207"/>
      <c r="M3" s="208"/>
      <c r="N3" s="83"/>
    </row>
    <row r="4" spans="1:14" ht="12" customHeight="1">
      <c r="A4" t="s">
        <v>103</v>
      </c>
      <c r="D4" s="533"/>
      <c r="F4" s="209"/>
      <c r="G4" s="210" t="s">
        <v>104</v>
      </c>
      <c r="H4" s="205" t="s">
        <v>105</v>
      </c>
      <c r="J4" s="209"/>
      <c r="K4" s="205" t="s">
        <v>106</v>
      </c>
      <c r="L4" s="205" t="s">
        <v>107</v>
      </c>
      <c r="M4" s="108" t="s">
        <v>108</v>
      </c>
      <c r="N4" s="83"/>
    </row>
    <row r="5" spans="1:14" ht="12" customHeight="1">
      <c r="D5" s="533"/>
      <c r="F5" s="205" t="s">
        <v>109</v>
      </c>
      <c r="G5" s="210" t="s">
        <v>110</v>
      </c>
      <c r="H5" s="205" t="s">
        <v>111</v>
      </c>
      <c r="I5" s="205" t="s">
        <v>112</v>
      </c>
      <c r="J5" s="205" t="s">
        <v>113</v>
      </c>
      <c r="K5" s="205" t="s">
        <v>114</v>
      </c>
      <c r="L5" s="205" t="s">
        <v>114</v>
      </c>
      <c r="M5" s="108" t="s">
        <v>115</v>
      </c>
      <c r="N5" s="83"/>
    </row>
    <row r="6" spans="1:14" ht="12" customHeight="1">
      <c r="A6" s="211" t="s">
        <v>116</v>
      </c>
      <c r="B6" s="425"/>
      <c r="C6" s="425"/>
      <c r="D6" s="425"/>
      <c r="E6" s="425"/>
      <c r="F6" s="212">
        <v>6100</v>
      </c>
      <c r="G6" s="212">
        <v>6200</v>
      </c>
      <c r="H6" s="212">
        <v>6500</v>
      </c>
      <c r="I6" s="212">
        <v>6600</v>
      </c>
      <c r="J6" s="212">
        <v>6800</v>
      </c>
      <c r="K6" s="205">
        <v>2024</v>
      </c>
      <c r="L6" s="108">
        <v>2025</v>
      </c>
      <c r="M6" s="108" t="s">
        <v>117</v>
      </c>
      <c r="N6" s="83"/>
    </row>
    <row r="7" spans="1:14" ht="12" customHeight="1">
      <c r="A7" t="s">
        <v>118</v>
      </c>
      <c r="F7" s="213"/>
      <c r="G7" s="213"/>
      <c r="H7" s="213"/>
      <c r="I7" s="213"/>
      <c r="J7" s="214"/>
      <c r="K7" s="215"/>
      <c r="L7" s="215"/>
      <c r="M7" s="216"/>
    </row>
    <row r="8" spans="1:14" ht="12" customHeight="1">
      <c r="B8" t="s">
        <v>119</v>
      </c>
      <c r="E8" s="411">
        <v>1</v>
      </c>
      <c r="F8" s="4">
        <f>1096000+35000</f>
        <v>1131000</v>
      </c>
      <c r="G8" s="4">
        <f>291000+7000</f>
        <v>298000</v>
      </c>
      <c r="H8" s="4">
        <v>311500</v>
      </c>
      <c r="I8" s="4">
        <v>71000</v>
      </c>
      <c r="J8" s="19">
        <v>61000</v>
      </c>
      <c r="K8" s="219">
        <v>1830500</v>
      </c>
      <c r="L8" s="219">
        <f>SUM(F8:J8)</f>
        <v>1872500</v>
      </c>
      <c r="M8" s="220">
        <f>IF(K8=0," ",(L8-K8)/K8)</f>
        <v>2.3E-2</v>
      </c>
      <c r="N8" s="221">
        <v>1</v>
      </c>
    </row>
    <row r="9" spans="1:14" ht="12" customHeight="1">
      <c r="B9" t="s">
        <v>120</v>
      </c>
      <c r="E9" s="411"/>
      <c r="F9" s="213"/>
      <c r="G9" s="213"/>
      <c r="H9" s="213"/>
      <c r="I9" s="213"/>
      <c r="J9" s="214"/>
      <c r="K9" s="216"/>
      <c r="L9" s="216"/>
      <c r="M9" s="216"/>
      <c r="N9" s="221"/>
    </row>
    <row r="10" spans="1:14" ht="12" customHeight="1">
      <c r="B10" t="s">
        <v>121</v>
      </c>
      <c r="E10" s="411">
        <v>2</v>
      </c>
      <c r="F10" s="4">
        <v>55000</v>
      </c>
      <c r="G10" s="4">
        <v>12500</v>
      </c>
      <c r="H10" s="4"/>
      <c r="I10" s="4"/>
      <c r="J10" s="19"/>
      <c r="K10" s="217">
        <v>67500</v>
      </c>
      <c r="L10" s="217">
        <f>SUM(F10:J10)</f>
        <v>67500</v>
      </c>
      <c r="M10" s="222">
        <f>IF(K10=0," ",(L10-K10)/K10)</f>
        <v>0</v>
      </c>
      <c r="N10" s="221">
        <v>2</v>
      </c>
    </row>
    <row r="11" spans="1:14" ht="12" customHeight="1">
      <c r="B11" t="s">
        <v>122</v>
      </c>
      <c r="E11" s="411">
        <v>3</v>
      </c>
      <c r="F11" s="4"/>
      <c r="G11" s="4"/>
      <c r="H11" s="4"/>
      <c r="I11" s="4"/>
      <c r="J11" s="4"/>
      <c r="K11" s="217">
        <f>[1]!SP1000P100F2200</f>
        <v>0</v>
      </c>
      <c r="L11" s="217">
        <f t="shared" ref="L11:L23" si="0">SUM(F11:J11)</f>
        <v>0</v>
      </c>
      <c r="M11" s="222" t="str">
        <f t="shared" ref="M11:M23" si="1">IF(K11=0," ",(L11-K11)/K11)</f>
        <v xml:space="preserve"> </v>
      </c>
      <c r="N11" s="223">
        <v>3</v>
      </c>
    </row>
    <row r="12" spans="1:14" ht="12" customHeight="1">
      <c r="B12" t="s">
        <v>123</v>
      </c>
      <c r="E12" s="411">
        <v>4</v>
      </c>
      <c r="F12" s="4"/>
      <c r="G12" s="4"/>
      <c r="H12" s="4">
        <v>2000</v>
      </c>
      <c r="I12" s="4"/>
      <c r="J12" s="4"/>
      <c r="K12" s="224">
        <v>2000</v>
      </c>
      <c r="L12" s="217">
        <f t="shared" si="0"/>
        <v>2000</v>
      </c>
      <c r="M12" s="222">
        <f t="shared" si="1"/>
        <v>0</v>
      </c>
      <c r="N12" s="223">
        <v>4</v>
      </c>
    </row>
    <row r="13" spans="1:14" ht="12" customHeight="1">
      <c r="B13" t="s">
        <v>124</v>
      </c>
      <c r="E13" s="411">
        <v>5</v>
      </c>
      <c r="F13" s="4">
        <v>375000</v>
      </c>
      <c r="G13" s="4">
        <v>91500</v>
      </c>
      <c r="H13" s="4">
        <v>106000</v>
      </c>
      <c r="I13" s="4"/>
      <c r="J13" s="4"/>
      <c r="K13" s="224">
        <v>572500</v>
      </c>
      <c r="L13" s="217">
        <f t="shared" si="0"/>
        <v>572500</v>
      </c>
      <c r="M13" s="222">
        <f t="shared" si="1"/>
        <v>0</v>
      </c>
      <c r="N13" s="223">
        <v>5</v>
      </c>
    </row>
    <row r="14" spans="1:14" ht="12" customHeight="1">
      <c r="B14" t="s">
        <v>125</v>
      </c>
      <c r="E14" s="411">
        <v>6</v>
      </c>
      <c r="F14" s="4"/>
      <c r="G14" s="4"/>
      <c r="H14" s="4">
        <v>113300</v>
      </c>
      <c r="I14" s="4">
        <v>2000</v>
      </c>
      <c r="J14" s="4">
        <v>70000</v>
      </c>
      <c r="K14" s="224">
        <v>185300</v>
      </c>
      <c r="L14" s="217">
        <f>SUM(F14:J14)</f>
        <v>185300</v>
      </c>
      <c r="M14" s="222">
        <f t="shared" si="1"/>
        <v>0</v>
      </c>
      <c r="N14" s="223">
        <v>6</v>
      </c>
    </row>
    <row r="15" spans="1:14" ht="12" customHeight="1">
      <c r="B15" t="s">
        <v>126</v>
      </c>
      <c r="E15" s="411">
        <v>7</v>
      </c>
      <c r="F15" s="4">
        <v>91000</v>
      </c>
      <c r="G15" s="4">
        <v>15000</v>
      </c>
      <c r="H15" s="4">
        <v>60000</v>
      </c>
      <c r="I15" s="4"/>
      <c r="J15" s="4">
        <v>91500</v>
      </c>
      <c r="K15" s="224">
        <v>257500</v>
      </c>
      <c r="L15" s="217">
        <f t="shared" si="0"/>
        <v>257500</v>
      </c>
      <c r="M15" s="222">
        <f t="shared" si="1"/>
        <v>0</v>
      </c>
      <c r="N15" s="223">
        <v>7</v>
      </c>
    </row>
    <row r="16" spans="1:14" ht="12" customHeight="1">
      <c r="B16" t="s">
        <v>127</v>
      </c>
      <c r="E16" s="411">
        <v>8</v>
      </c>
      <c r="F16" s="4"/>
      <c r="G16" s="4"/>
      <c r="H16" s="4"/>
      <c r="I16" s="4"/>
      <c r="J16" s="4"/>
      <c r="K16" s="224">
        <f>[1]!SP1000P100F2900</f>
        <v>0</v>
      </c>
      <c r="L16" s="217">
        <f t="shared" si="0"/>
        <v>0</v>
      </c>
      <c r="M16" s="222" t="str">
        <f t="shared" si="1"/>
        <v xml:space="preserve"> </v>
      </c>
      <c r="N16" s="223">
        <v>8</v>
      </c>
    </row>
    <row r="17" spans="1:14" ht="12" customHeight="1">
      <c r="B17" t="s">
        <v>128</v>
      </c>
      <c r="E17" s="411">
        <v>9</v>
      </c>
      <c r="F17" s="4">
        <v>25000</v>
      </c>
      <c r="G17" s="4">
        <v>5000</v>
      </c>
      <c r="H17" s="4"/>
      <c r="I17" s="4"/>
      <c r="J17" s="4"/>
      <c r="K17" s="224">
        <v>30000</v>
      </c>
      <c r="L17" s="217">
        <f t="shared" si="0"/>
        <v>30000</v>
      </c>
      <c r="M17" s="222">
        <f t="shared" si="1"/>
        <v>0</v>
      </c>
      <c r="N17" s="223">
        <v>9</v>
      </c>
    </row>
    <row r="18" spans="1:14" ht="12" customHeight="1">
      <c r="B18" t="s">
        <v>129</v>
      </c>
      <c r="E18" s="411">
        <v>10</v>
      </c>
      <c r="F18" s="4"/>
      <c r="G18" s="4"/>
      <c r="H18" s="4"/>
      <c r="I18" s="4"/>
      <c r="J18" s="4"/>
      <c r="K18" s="224">
        <f>[1]!SP1000P100F4000</f>
        <v>0</v>
      </c>
      <c r="L18" s="217">
        <f t="shared" si="0"/>
        <v>0</v>
      </c>
      <c r="M18" s="222" t="str">
        <f t="shared" si="1"/>
        <v xml:space="preserve"> </v>
      </c>
      <c r="N18" s="223">
        <v>10</v>
      </c>
    </row>
    <row r="19" spans="1:14" ht="12" customHeight="1">
      <c r="B19" t="s">
        <v>130</v>
      </c>
      <c r="E19" s="225">
        <v>11</v>
      </c>
      <c r="F19" s="13"/>
      <c r="G19" s="4"/>
      <c r="H19" s="4"/>
      <c r="I19" s="4"/>
      <c r="J19" s="4"/>
      <c r="K19" s="224">
        <f>[1]!SP1000P100F5000</f>
        <v>0</v>
      </c>
      <c r="L19" s="217">
        <f t="shared" si="0"/>
        <v>0</v>
      </c>
      <c r="M19" s="222" t="str">
        <f t="shared" si="1"/>
        <v xml:space="preserve"> </v>
      </c>
      <c r="N19" s="223">
        <v>11</v>
      </c>
    </row>
    <row r="20" spans="1:14" ht="12" customHeight="1">
      <c r="A20" t="s">
        <v>131</v>
      </c>
      <c r="E20" s="225">
        <v>12</v>
      </c>
      <c r="F20" s="13"/>
      <c r="G20" s="4"/>
      <c r="H20" s="4"/>
      <c r="I20" s="4"/>
      <c r="J20" s="4"/>
      <c r="K20" s="217">
        <f>[1]!SP1000P610</f>
        <v>0</v>
      </c>
      <c r="L20" s="217">
        <f t="shared" si="0"/>
        <v>0</v>
      </c>
      <c r="M20" s="222" t="str">
        <f t="shared" si="1"/>
        <v xml:space="preserve"> </v>
      </c>
      <c r="N20" s="223">
        <v>12</v>
      </c>
    </row>
    <row r="21" spans="1:14" ht="12" customHeight="1">
      <c r="A21" t="s">
        <v>132</v>
      </c>
      <c r="E21" s="225">
        <v>13</v>
      </c>
      <c r="F21" s="13"/>
      <c r="G21" s="4"/>
      <c r="H21" s="4"/>
      <c r="I21" s="4"/>
      <c r="J21" s="4"/>
      <c r="K21" s="217">
        <f>[1]!SP1000P620</f>
        <v>0</v>
      </c>
      <c r="L21" s="217">
        <f>SUM(F21:J21)</f>
        <v>0</v>
      </c>
      <c r="M21" s="222" t="str">
        <f t="shared" si="1"/>
        <v xml:space="preserve"> </v>
      </c>
      <c r="N21" s="223">
        <v>13</v>
      </c>
    </row>
    <row r="22" spans="1:14" ht="12" customHeight="1">
      <c r="A22" t="s">
        <v>133</v>
      </c>
      <c r="E22" s="225">
        <v>14</v>
      </c>
      <c r="F22" s="13"/>
      <c r="G22" s="4"/>
      <c r="H22" s="4"/>
      <c r="I22" s="4"/>
      <c r="J22" s="4"/>
      <c r="K22" s="217">
        <f>[1]!SP1000P630700800900</f>
        <v>0</v>
      </c>
      <c r="L22" s="217">
        <f t="shared" si="0"/>
        <v>0</v>
      </c>
      <c r="M22" s="222" t="str">
        <f t="shared" si="1"/>
        <v xml:space="preserve"> </v>
      </c>
      <c r="N22" s="223">
        <v>14</v>
      </c>
    </row>
    <row r="23" spans="1:14" ht="12" customHeight="1">
      <c r="A23" s="425"/>
      <c r="B23" s="425" t="s">
        <v>134</v>
      </c>
      <c r="C23" s="425"/>
      <c r="D23" s="425"/>
      <c r="E23" s="226">
        <v>15</v>
      </c>
      <c r="F23" s="217">
        <f>SUM(F7:F22)</f>
        <v>1677000</v>
      </c>
      <c r="G23" s="217">
        <f>SUM(G7:G22)</f>
        <v>422000</v>
      </c>
      <c r="H23" s="217">
        <f>SUM(H7:H22)</f>
        <v>592800</v>
      </c>
      <c r="I23" s="217">
        <f>SUM(I7:I22)</f>
        <v>73000</v>
      </c>
      <c r="J23" s="217">
        <f>SUM(J7:J22)</f>
        <v>222500</v>
      </c>
      <c r="K23" s="227">
        <f>SUM(K8:K22)</f>
        <v>2945300</v>
      </c>
      <c r="L23" s="227">
        <f t="shared" si="0"/>
        <v>2987300</v>
      </c>
      <c r="M23" s="222">
        <f t="shared" si="1"/>
        <v>1.4E-2</v>
      </c>
      <c r="N23" s="223">
        <v>15</v>
      </c>
    </row>
    <row r="24" spans="1:14" ht="12" customHeight="1">
      <c r="A24" t="s">
        <v>135</v>
      </c>
      <c r="E24" s="411"/>
      <c r="F24" s="213"/>
      <c r="G24" s="213"/>
      <c r="H24" s="213"/>
      <c r="I24" s="213"/>
      <c r="J24" s="214"/>
      <c r="K24" s="216"/>
      <c r="L24" s="216"/>
      <c r="M24" s="216"/>
      <c r="N24" s="223"/>
    </row>
    <row r="25" spans="1:14" ht="12" customHeight="1">
      <c r="B25" t="s">
        <v>119</v>
      </c>
      <c r="E25" s="411">
        <v>16</v>
      </c>
      <c r="F25" s="4">
        <v>56000</v>
      </c>
      <c r="G25" s="4">
        <v>16000</v>
      </c>
      <c r="H25" s="4"/>
      <c r="I25" s="4"/>
      <c r="J25" s="19"/>
      <c r="K25" s="217">
        <v>70000</v>
      </c>
      <c r="L25" s="217">
        <f>SUM(F25:J25)</f>
        <v>72000</v>
      </c>
      <c r="M25" s="228">
        <f>IF(K25=0," ",(L25-K25)/K25)</f>
        <v>2.9000000000000001E-2</v>
      </c>
      <c r="N25" s="223">
        <v>16</v>
      </c>
    </row>
    <row r="26" spans="1:14" ht="12" customHeight="1">
      <c r="B26" t="s">
        <v>120</v>
      </c>
      <c r="E26" s="411"/>
      <c r="F26" s="213"/>
      <c r="G26" s="213"/>
      <c r="H26" s="213"/>
      <c r="I26" s="213"/>
      <c r="J26" s="214"/>
      <c r="K26" s="216"/>
      <c r="L26" s="216"/>
      <c r="M26" s="216"/>
      <c r="N26" s="223"/>
    </row>
    <row r="27" spans="1:14" ht="12" customHeight="1">
      <c r="B27" t="s">
        <v>121</v>
      </c>
      <c r="E27" s="225">
        <v>17</v>
      </c>
      <c r="F27" s="4"/>
      <c r="G27" s="4"/>
      <c r="H27" s="4"/>
      <c r="I27" s="4"/>
      <c r="J27" s="19"/>
      <c r="K27" s="217">
        <f>[1]!SP1000P200F2100</f>
        <v>0</v>
      </c>
      <c r="L27" s="217">
        <f>SUM(F27:J27)</f>
        <v>0</v>
      </c>
      <c r="M27" s="228" t="str">
        <f>IF(K27=0," ",(L27-K27)/K27)</f>
        <v xml:space="preserve"> </v>
      </c>
      <c r="N27" s="223">
        <v>17</v>
      </c>
    </row>
    <row r="28" spans="1:14" ht="12" customHeight="1">
      <c r="B28" t="s">
        <v>122</v>
      </c>
      <c r="E28" s="225">
        <v>18</v>
      </c>
      <c r="F28" s="4"/>
      <c r="G28" s="4"/>
      <c r="H28" s="4"/>
      <c r="I28" s="4"/>
      <c r="J28" s="4"/>
      <c r="K28" s="217">
        <f>[1]!SP1000P200F2200</f>
        <v>0</v>
      </c>
      <c r="L28" s="217">
        <f t="shared" ref="L28:L42" si="2">SUM(F28:J28)</f>
        <v>0</v>
      </c>
      <c r="M28" s="229" t="str">
        <f t="shared" ref="M28:M48" si="3">IF(K28=0," ",(L28-K28)/K28)</f>
        <v xml:space="preserve"> </v>
      </c>
      <c r="N28" s="223">
        <v>18</v>
      </c>
    </row>
    <row r="29" spans="1:14" ht="12" customHeight="1">
      <c r="B29" t="s">
        <v>123</v>
      </c>
      <c r="E29" s="225">
        <v>19</v>
      </c>
      <c r="F29" s="4"/>
      <c r="G29" s="4"/>
      <c r="H29" s="4"/>
      <c r="I29" s="4"/>
      <c r="J29" s="4"/>
      <c r="K29" s="224">
        <f>[1]!SP1000P200F2300</f>
        <v>0</v>
      </c>
      <c r="L29" s="217">
        <f t="shared" si="2"/>
        <v>0</v>
      </c>
      <c r="M29" s="222" t="str">
        <f t="shared" si="3"/>
        <v xml:space="preserve"> </v>
      </c>
      <c r="N29" s="223">
        <v>19</v>
      </c>
    </row>
    <row r="30" spans="1:14" ht="12" customHeight="1">
      <c r="B30" t="s">
        <v>124</v>
      </c>
      <c r="E30" s="225">
        <v>20</v>
      </c>
      <c r="F30" s="4"/>
      <c r="G30" s="4"/>
      <c r="H30" s="4"/>
      <c r="I30" s="4"/>
      <c r="J30" s="4"/>
      <c r="K30" s="224">
        <f>[1]!SP1000P200F2400</f>
        <v>0</v>
      </c>
      <c r="L30" s="217">
        <f t="shared" si="2"/>
        <v>0</v>
      </c>
      <c r="M30" s="222" t="str">
        <f t="shared" si="3"/>
        <v xml:space="preserve"> </v>
      </c>
      <c r="N30" s="223">
        <v>20</v>
      </c>
    </row>
    <row r="31" spans="1:14" ht="12" customHeight="1">
      <c r="B31" t="s">
        <v>125</v>
      </c>
      <c r="E31" s="225">
        <v>21</v>
      </c>
      <c r="F31" s="4"/>
      <c r="G31" s="4"/>
      <c r="H31" s="4"/>
      <c r="I31" s="4"/>
      <c r="J31" s="4"/>
      <c r="K31" s="224">
        <f>[1]!SP1000P200F2500</f>
        <v>0</v>
      </c>
      <c r="L31" s="217">
        <f>SUM(F31:J31)</f>
        <v>0</v>
      </c>
      <c r="M31" s="222" t="str">
        <f t="shared" si="3"/>
        <v xml:space="preserve"> </v>
      </c>
      <c r="N31" s="223">
        <v>21</v>
      </c>
    </row>
    <row r="32" spans="1:14" ht="12" customHeight="1">
      <c r="B32" t="s">
        <v>126</v>
      </c>
      <c r="E32" s="225">
        <v>22</v>
      </c>
      <c r="F32" s="4"/>
      <c r="G32" s="4"/>
      <c r="H32" s="4"/>
      <c r="I32" s="4"/>
      <c r="J32" s="4"/>
      <c r="K32" s="224">
        <f>[1]!SP1000P200F2600</f>
        <v>0</v>
      </c>
      <c r="L32" s="217">
        <f t="shared" si="2"/>
        <v>0</v>
      </c>
      <c r="M32" s="222" t="str">
        <f t="shared" si="3"/>
        <v xml:space="preserve"> </v>
      </c>
      <c r="N32" s="223">
        <v>22</v>
      </c>
    </row>
    <row r="33" spans="1:18" ht="12" customHeight="1">
      <c r="B33" t="s">
        <v>127</v>
      </c>
      <c r="E33" s="225">
        <v>23</v>
      </c>
      <c r="F33" s="4"/>
      <c r="G33" s="4"/>
      <c r="H33" s="4"/>
      <c r="I33" s="4"/>
      <c r="J33" s="4"/>
      <c r="K33" s="224">
        <f>[1]!SP1000P200F2900</f>
        <v>0</v>
      </c>
      <c r="L33" s="217">
        <f t="shared" si="2"/>
        <v>0</v>
      </c>
      <c r="M33" s="222" t="str">
        <f t="shared" si="3"/>
        <v xml:space="preserve"> </v>
      </c>
      <c r="N33" s="223">
        <v>23</v>
      </c>
    </row>
    <row r="34" spans="1:18" ht="12" customHeight="1">
      <c r="B34" t="s">
        <v>128</v>
      </c>
      <c r="E34" s="225">
        <v>24</v>
      </c>
      <c r="F34" s="4"/>
      <c r="G34" s="4"/>
      <c r="H34" s="4"/>
      <c r="I34" s="4"/>
      <c r="J34" s="4"/>
      <c r="K34" s="224">
        <f>[1]!SP1000P200F3000</f>
        <v>0</v>
      </c>
      <c r="L34" s="217">
        <f t="shared" si="2"/>
        <v>0</v>
      </c>
      <c r="M34" s="222" t="str">
        <f t="shared" si="3"/>
        <v xml:space="preserve"> </v>
      </c>
      <c r="N34" s="223">
        <v>24</v>
      </c>
      <c r="R34" s="204"/>
    </row>
    <row r="35" spans="1:18" ht="12" customHeight="1">
      <c r="B35" t="s">
        <v>129</v>
      </c>
      <c r="E35" s="225">
        <v>25</v>
      </c>
      <c r="F35" s="4"/>
      <c r="G35" s="4"/>
      <c r="H35" s="4"/>
      <c r="I35" s="4"/>
      <c r="J35" s="4"/>
      <c r="K35" s="224">
        <f>[1]!SP1000P200F4000</f>
        <v>0</v>
      </c>
      <c r="L35" s="217">
        <f t="shared" si="2"/>
        <v>0</v>
      </c>
      <c r="M35" s="222" t="str">
        <f t="shared" si="3"/>
        <v xml:space="preserve"> </v>
      </c>
      <c r="N35" s="223">
        <v>25</v>
      </c>
    </row>
    <row r="36" spans="1:18" ht="12" customHeight="1">
      <c r="B36" t="s">
        <v>130</v>
      </c>
      <c r="E36" s="411">
        <v>26</v>
      </c>
      <c r="F36" s="4"/>
      <c r="G36" s="4"/>
      <c r="H36" s="4"/>
      <c r="I36" s="4"/>
      <c r="J36" s="4"/>
      <c r="K36" s="224">
        <f>[1]!SP1000P200F5000</f>
        <v>0</v>
      </c>
      <c r="L36" s="217">
        <f t="shared" si="2"/>
        <v>0</v>
      </c>
      <c r="M36" s="222" t="str">
        <f t="shared" si="3"/>
        <v xml:space="preserve"> </v>
      </c>
      <c r="N36" s="223">
        <v>26</v>
      </c>
    </row>
    <row r="37" spans="1:18" ht="12" customHeight="1">
      <c r="A37" s="425"/>
      <c r="B37" s="425" t="s">
        <v>136</v>
      </c>
      <c r="C37" s="425"/>
      <c r="D37" s="425"/>
      <c r="E37" s="226">
        <v>27</v>
      </c>
      <c r="F37" s="224">
        <f>SUM(F24:F36)</f>
        <v>56000</v>
      </c>
      <c r="G37" s="224">
        <f>SUM(G24:G36)</f>
        <v>16000</v>
      </c>
      <c r="H37" s="224">
        <f>SUM(H24:H36)</f>
        <v>0</v>
      </c>
      <c r="I37" s="224">
        <f>SUM(I24:I36)</f>
        <v>0</v>
      </c>
      <c r="J37" s="224">
        <f>SUM(J24:J36)</f>
        <v>0</v>
      </c>
      <c r="K37" s="224">
        <f>SUM(K25:K36)</f>
        <v>70000</v>
      </c>
      <c r="L37" s="224">
        <f t="shared" si="2"/>
        <v>72000</v>
      </c>
      <c r="M37" s="229">
        <f t="shared" si="3"/>
        <v>2.9000000000000001E-2</v>
      </c>
      <c r="N37" s="223">
        <v>27</v>
      </c>
    </row>
    <row r="38" spans="1:18" ht="0.75" customHeight="1">
      <c r="A38" t="s">
        <v>137</v>
      </c>
      <c r="E38" s="411">
        <v>28</v>
      </c>
      <c r="F38" s="230"/>
      <c r="G38" s="230"/>
      <c r="H38" s="230"/>
      <c r="I38" s="230"/>
      <c r="J38" s="230"/>
      <c r="K38" s="230"/>
      <c r="L38" s="230"/>
      <c r="M38" s="231"/>
      <c r="N38" s="221">
        <v>28</v>
      </c>
    </row>
    <row r="39" spans="1:18" ht="12" customHeight="1">
      <c r="A39" s="425" t="s">
        <v>138</v>
      </c>
      <c r="B39" s="425"/>
      <c r="C39" s="425"/>
      <c r="D39" s="425"/>
      <c r="E39" s="226">
        <v>28</v>
      </c>
      <c r="F39" s="4"/>
      <c r="G39" s="4"/>
      <c r="H39" s="4">
        <v>6000</v>
      </c>
      <c r="I39" s="4"/>
      <c r="J39" s="4"/>
      <c r="K39" s="217">
        <v>6000</v>
      </c>
      <c r="L39" s="217">
        <f t="shared" si="2"/>
        <v>6000</v>
      </c>
      <c r="M39" s="222">
        <f t="shared" si="3"/>
        <v>0</v>
      </c>
      <c r="N39" s="223">
        <v>28</v>
      </c>
    </row>
    <row r="40" spans="1:18" ht="12" customHeight="1">
      <c r="A40" s="425" t="s">
        <v>139</v>
      </c>
      <c r="B40" s="425"/>
      <c r="C40" s="425"/>
      <c r="D40" s="425"/>
      <c r="E40" s="232">
        <v>29</v>
      </c>
      <c r="F40" s="4"/>
      <c r="G40" s="4"/>
      <c r="H40" s="4"/>
      <c r="I40" s="4"/>
      <c r="J40" s="4"/>
      <c r="K40" s="224">
        <f>[1]!SP1000P530</f>
        <v>0</v>
      </c>
      <c r="L40" s="217">
        <f>SUM(F40:J40)</f>
        <v>0</v>
      </c>
      <c r="M40" s="222" t="str">
        <f t="shared" si="3"/>
        <v xml:space="preserve"> </v>
      </c>
      <c r="N40" s="223">
        <v>29</v>
      </c>
    </row>
    <row r="41" spans="1:18" ht="12" customHeight="1">
      <c r="A41" s="425" t="s">
        <v>140</v>
      </c>
      <c r="B41" s="425"/>
      <c r="C41" s="425"/>
      <c r="D41" s="425"/>
      <c r="E41" s="232">
        <v>30</v>
      </c>
      <c r="F41" s="4"/>
      <c r="G41" s="4"/>
      <c r="H41" s="4"/>
      <c r="I41" s="4"/>
      <c r="J41" s="4"/>
      <c r="K41" s="224">
        <f>[1]!SP1000P540</f>
        <v>0</v>
      </c>
      <c r="L41" s="217">
        <f t="shared" si="2"/>
        <v>0</v>
      </c>
      <c r="M41" s="222" t="str">
        <f t="shared" si="3"/>
        <v xml:space="preserve"> </v>
      </c>
      <c r="N41" s="223">
        <v>30</v>
      </c>
    </row>
    <row r="42" spans="1:18" ht="12" customHeight="1">
      <c r="A42" s="233" t="s">
        <v>141</v>
      </c>
      <c r="B42" s="234"/>
      <c r="C42" s="234"/>
      <c r="D42" s="234"/>
      <c r="E42" s="232">
        <v>31</v>
      </c>
      <c r="F42" s="4"/>
      <c r="G42" s="4"/>
      <c r="H42" s="4"/>
      <c r="I42" s="4"/>
      <c r="J42" s="4"/>
      <c r="K42" s="224">
        <f>[1]!SP1000P550</f>
        <v>0</v>
      </c>
      <c r="L42" s="217">
        <f t="shared" si="2"/>
        <v>0</v>
      </c>
      <c r="M42" s="222" t="str">
        <f t="shared" si="3"/>
        <v xml:space="preserve"> </v>
      </c>
      <c r="N42" s="223">
        <v>31</v>
      </c>
    </row>
    <row r="43" spans="1:18" ht="12" customHeight="1">
      <c r="A43" s="425"/>
      <c r="B43" s="425" t="s">
        <v>142</v>
      </c>
      <c r="C43" s="425"/>
      <c r="D43" s="425"/>
      <c r="E43" s="232">
        <v>32</v>
      </c>
      <c r="F43" s="217">
        <f t="shared" ref="F43:K43" si="4">SUM(F37:F42)+F23</f>
        <v>1733000</v>
      </c>
      <c r="G43" s="217">
        <f t="shared" si="4"/>
        <v>438000</v>
      </c>
      <c r="H43" s="217">
        <f t="shared" si="4"/>
        <v>598800</v>
      </c>
      <c r="I43" s="217">
        <f t="shared" si="4"/>
        <v>73000</v>
      </c>
      <c r="J43" s="217">
        <f t="shared" si="4"/>
        <v>222500</v>
      </c>
      <c r="K43" s="217">
        <f t="shared" si="4"/>
        <v>3021300</v>
      </c>
      <c r="L43" s="217">
        <f>SUM(F43:J43)</f>
        <v>3065300</v>
      </c>
      <c r="M43" s="222">
        <f t="shared" si="3"/>
        <v>1.4999999999999999E-2</v>
      </c>
      <c r="N43" s="223">
        <v>32</v>
      </c>
    </row>
    <row r="44" spans="1:18" ht="12" customHeight="1">
      <c r="A44" s="425" t="s">
        <v>554</v>
      </c>
      <c r="B44" s="425"/>
      <c r="C44" s="425"/>
      <c r="D44" s="425"/>
      <c r="E44" s="232">
        <v>33</v>
      </c>
      <c r="F44" s="217">
        <f>TotalCSP6100</f>
        <v>376000</v>
      </c>
      <c r="G44" s="217">
        <f>TotalCSP6200</f>
        <v>31000</v>
      </c>
      <c r="H44" s="217">
        <f>TotalCSP630064006500</f>
        <v>0</v>
      </c>
      <c r="I44" s="217">
        <f>TotalCSP6600</f>
        <v>0</v>
      </c>
      <c r="J44" s="217">
        <f>'Page 3'!F18</f>
        <v>0</v>
      </c>
      <c r="K44" s="217">
        <v>407000</v>
      </c>
      <c r="L44" s="217">
        <f>SUM(F44:J44)</f>
        <v>407000</v>
      </c>
      <c r="M44" s="222">
        <f t="shared" si="3"/>
        <v>0</v>
      </c>
      <c r="N44" s="223">
        <v>33</v>
      </c>
    </row>
    <row r="45" spans="1:18" ht="12" customHeight="1">
      <c r="A45" s="425" t="s">
        <v>143</v>
      </c>
      <c r="B45" s="425"/>
      <c r="C45" s="425"/>
      <c r="D45" s="425"/>
      <c r="E45" s="232">
        <v>34</v>
      </c>
      <c r="F45" s="235"/>
      <c r="G45" s="235"/>
      <c r="H45" s="235"/>
      <c r="I45" s="235"/>
      <c r="J45" s="235"/>
      <c r="K45" s="217">
        <v>18000</v>
      </c>
      <c r="L45" s="217">
        <f>TotalInstructionalImprovement</f>
        <v>18000</v>
      </c>
      <c r="M45" s="222">
        <f t="shared" si="3"/>
        <v>0</v>
      </c>
      <c r="N45" s="223">
        <v>34</v>
      </c>
    </row>
    <row r="46" spans="1:18" ht="12" customHeight="1">
      <c r="A46" s="425" t="s">
        <v>144</v>
      </c>
      <c r="B46" s="425"/>
      <c r="C46" s="425"/>
      <c r="D46" s="425"/>
      <c r="E46" s="232">
        <v>35</v>
      </c>
      <c r="F46" s="217">
        <f>TotalSEIP6100</f>
        <v>0</v>
      </c>
      <c r="G46" s="217">
        <f>TotalSEIP6200</f>
        <v>0</v>
      </c>
      <c r="H46" s="217">
        <f>TotalSEIP630064006500</f>
        <v>0</v>
      </c>
      <c r="I46" s="217">
        <f>TotalSEIP6600</f>
        <v>0</v>
      </c>
      <c r="J46" s="217">
        <f>TotalSEIP6800</f>
        <v>0</v>
      </c>
      <c r="K46" s="217">
        <f>[1]!SP1000StruEngImmProj</f>
        <v>0</v>
      </c>
      <c r="L46" s="217">
        <f>TotalSEIP</f>
        <v>0</v>
      </c>
      <c r="M46" s="222" t="str">
        <f t="shared" si="3"/>
        <v xml:space="preserve"> </v>
      </c>
      <c r="N46" s="223">
        <v>35</v>
      </c>
    </row>
    <row r="47" spans="1:18" ht="12" customHeight="1">
      <c r="A47" s="425" t="s">
        <v>145</v>
      </c>
      <c r="B47" s="425"/>
      <c r="C47" s="425"/>
      <c r="D47" s="425"/>
      <c r="E47" s="232">
        <v>36</v>
      </c>
      <c r="F47" s="217">
        <f>TotalCIP6100</f>
        <v>0</v>
      </c>
      <c r="G47" s="217">
        <f>TotalCIP6200</f>
        <v>0</v>
      </c>
      <c r="H47" s="217">
        <f>TotalCIP630064006500</f>
        <v>0</v>
      </c>
      <c r="I47" s="217">
        <f>TotalCIP6600</f>
        <v>0</v>
      </c>
      <c r="J47" s="217">
        <f>TotalCIP6800</f>
        <v>0</v>
      </c>
      <c r="K47" s="224">
        <f>[1]!SP1000CompInstrProj</f>
        <v>0</v>
      </c>
      <c r="L47" s="217">
        <f>TotalCIP</f>
        <v>0</v>
      </c>
      <c r="M47" s="222" t="str">
        <f t="shared" si="3"/>
        <v xml:space="preserve"> </v>
      </c>
      <c r="N47" s="223">
        <v>36</v>
      </c>
    </row>
    <row r="48" spans="1:18" ht="12" customHeight="1">
      <c r="A48" s="233" t="s">
        <v>146</v>
      </c>
      <c r="B48" s="234"/>
      <c r="C48" s="234"/>
      <c r="D48" s="234"/>
      <c r="E48" s="232">
        <v>37</v>
      </c>
      <c r="F48" s="235"/>
      <c r="G48" s="235"/>
      <c r="H48" s="235"/>
      <c r="I48" s="235"/>
      <c r="J48" s="235"/>
      <c r="K48" s="224">
        <v>700000</v>
      </c>
      <c r="L48" s="217">
        <f>FederalandStateProjectsTotal</f>
        <v>700000</v>
      </c>
      <c r="M48" s="222">
        <f t="shared" si="3"/>
        <v>0</v>
      </c>
      <c r="N48" s="223">
        <v>37</v>
      </c>
    </row>
    <row r="49" spans="1:14" ht="12" customHeight="1">
      <c r="A49" s="236"/>
      <c r="B49" s="425" t="s">
        <v>147</v>
      </c>
      <c r="C49" s="425"/>
      <c r="D49" s="425"/>
      <c r="E49" s="232">
        <v>38</v>
      </c>
      <c r="F49" s="237">
        <f>SUM(F43+F44+F46+F47)</f>
        <v>2109000</v>
      </c>
      <c r="G49" s="237">
        <f>SUM(G43+G44+G46+G47)</f>
        <v>469000</v>
      </c>
      <c r="H49" s="237">
        <f>SUM(H43+H44+H46+H47)</f>
        <v>598800</v>
      </c>
      <c r="I49" s="237">
        <f>SUM(I43+I44+I46+I47)</f>
        <v>73000</v>
      </c>
      <c r="J49" s="237" cm="1">
        <f t="array" ref="J49">SUM(J43:J44+J46+J47)</f>
        <v>222500</v>
      </c>
      <c r="K49" s="238">
        <f>SUM(K43:K48)</f>
        <v>4146300</v>
      </c>
      <c r="L49" s="238">
        <f>SUM(L43:L48)</f>
        <v>4190300</v>
      </c>
      <c r="M49" s="222">
        <f>IF(K49=0," ",(L49-K49)/K49)</f>
        <v>1.0999999999999999E-2</v>
      </c>
      <c r="N49" s="223">
        <v>38</v>
      </c>
    </row>
  </sheetData>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4" orientation="landscape" horizontalDpi="300" verticalDpi="300" r:id="rId3"/>
  <headerFooter>
    <oddFooter>&amp;L&amp;"Arial,Bold"Rev. 5/24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0"/>
  <sheetViews>
    <sheetView showGridLines="0" topLeftCell="A23" workbookViewId="0">
      <selection activeCell="E48" sqref="E48"/>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531" t="str">
        <f>CharterName</f>
        <v>Nosotros Academy</v>
      </c>
      <c r="D1" s="531"/>
      <c r="E1" s="531"/>
      <c r="F1" s="531"/>
      <c r="H1" s="429" t="s">
        <v>1</v>
      </c>
      <c r="I1" s="532" t="str">
        <f>Cover!M1</f>
        <v>Pima</v>
      </c>
      <c r="J1" s="513"/>
      <c r="K1" s="513"/>
      <c r="M1" s="429" t="s">
        <v>2</v>
      </c>
      <c r="N1" s="418" t="str">
        <f>CTD</f>
        <v>108707000</v>
      </c>
    </row>
    <row r="2" spans="1:19" ht="7.5" customHeight="1">
      <c r="A2" s="239"/>
      <c r="B2" s="132"/>
      <c r="C2" s="132"/>
      <c r="D2" s="132"/>
      <c r="E2" s="132"/>
      <c r="H2" s="240"/>
      <c r="I2" s="241"/>
      <c r="J2" s="241"/>
      <c r="K2" s="241"/>
      <c r="L2" s="241"/>
      <c r="M2" s="241"/>
      <c r="N2" s="241"/>
    </row>
    <row r="3" spans="1:19" ht="12" customHeight="1">
      <c r="A3" s="537" t="s">
        <v>148</v>
      </c>
      <c r="B3" s="538"/>
      <c r="C3" s="538"/>
      <c r="D3" s="242"/>
      <c r="E3" s="242"/>
      <c r="H3" s="242" t="s">
        <v>149</v>
      </c>
      <c r="I3" s="243"/>
      <c r="J3" s="243"/>
      <c r="K3" s="243"/>
      <c r="L3" s="243"/>
      <c r="M3" s="243"/>
      <c r="N3" s="243"/>
      <c r="Q3" s="534"/>
      <c r="R3" s="534"/>
    </row>
    <row r="4" spans="1:19" ht="40.5" customHeight="1">
      <c r="A4" s="95" t="s">
        <v>150</v>
      </c>
      <c r="D4" s="421" t="s">
        <v>151</v>
      </c>
      <c r="E4" s="421" t="s">
        <v>152</v>
      </c>
      <c r="H4" s="132"/>
      <c r="I4" s="132"/>
      <c r="J4" s="132"/>
      <c r="K4" s="132"/>
      <c r="M4" s="421" t="s">
        <v>153</v>
      </c>
      <c r="N4" s="421" t="s">
        <v>154</v>
      </c>
      <c r="Q4" s="534"/>
      <c r="R4" s="534"/>
    </row>
    <row r="5" spans="1:19" ht="12" customHeight="1">
      <c r="A5" s="244">
        <v>1</v>
      </c>
      <c r="B5" s="119" t="s">
        <v>155</v>
      </c>
      <c r="C5" s="119"/>
      <c r="D5" s="245">
        <v>171324</v>
      </c>
      <c r="E5" s="16">
        <v>171324</v>
      </c>
      <c r="F5" s="221">
        <v>1</v>
      </c>
      <c r="G5" s="246">
        <v>1</v>
      </c>
      <c r="H5" s="247" t="s">
        <v>156</v>
      </c>
      <c r="I5" s="247"/>
      <c r="J5" s="248"/>
      <c r="K5" s="119"/>
      <c r="M5" s="249">
        <v>70000</v>
      </c>
      <c r="N5" s="17">
        <v>72000</v>
      </c>
      <c r="O5" s="221">
        <v>1</v>
      </c>
      <c r="R5" s="230"/>
      <c r="S5" s="230"/>
    </row>
    <row r="6" spans="1:19" ht="12" customHeight="1">
      <c r="A6" s="244">
        <v>2</v>
      </c>
      <c r="B6" s="119" t="s">
        <v>157</v>
      </c>
      <c r="C6" s="119"/>
      <c r="D6" s="245">
        <v>23467</v>
      </c>
      <c r="E6" s="16">
        <v>23467</v>
      </c>
      <c r="F6" s="221">
        <v>2</v>
      </c>
      <c r="G6" s="246">
        <v>2</v>
      </c>
      <c r="H6" s="119" t="s">
        <v>158</v>
      </c>
      <c r="I6" s="119"/>
      <c r="J6" s="119"/>
      <c r="K6" s="119"/>
      <c r="M6" s="249">
        <f>[1]!P200GiftedEducation</f>
        <v>0</v>
      </c>
      <c r="N6" s="17"/>
      <c r="O6" s="221">
        <v>2</v>
      </c>
      <c r="R6" s="230"/>
      <c r="S6" s="230"/>
    </row>
    <row r="7" spans="1:19" ht="12" customHeight="1">
      <c r="A7" s="244">
        <v>3</v>
      </c>
      <c r="B7" s="119" t="s">
        <v>159</v>
      </c>
      <c r="C7" s="119"/>
      <c r="D7" s="245">
        <f>[1]!FP1160TitleIV</f>
        <v>0</v>
      </c>
      <c r="E7" s="16"/>
      <c r="F7" s="221">
        <v>3</v>
      </c>
      <c r="G7" s="246">
        <v>3</v>
      </c>
      <c r="H7" s="119" t="s">
        <v>160</v>
      </c>
      <c r="I7" s="119"/>
      <c r="J7" s="119"/>
      <c r="K7" s="119"/>
      <c r="M7" s="245">
        <f>[1]!P200ELLIncrementalCosts</f>
        <v>0</v>
      </c>
      <c r="N7" s="16"/>
      <c r="O7" s="221">
        <v>3</v>
      </c>
      <c r="R7" s="230"/>
      <c r="S7" s="230"/>
    </row>
    <row r="8" spans="1:19" ht="12" customHeight="1">
      <c r="A8" s="244">
        <v>4</v>
      </c>
      <c r="B8" s="119" t="s">
        <v>161</v>
      </c>
      <c r="C8" s="119"/>
      <c r="D8" s="245">
        <f>[1]!FP11701180TitleV</f>
        <v>0</v>
      </c>
      <c r="E8" s="16"/>
      <c r="F8" s="221">
        <v>4</v>
      </c>
      <c r="G8" s="246">
        <v>4</v>
      </c>
      <c r="H8" s="119" t="s">
        <v>162</v>
      </c>
      <c r="I8" s="119"/>
      <c r="J8" s="119"/>
      <c r="K8" s="119"/>
      <c r="M8" s="245">
        <f>[1]!P200ELLCompensatoryInstruction</f>
        <v>0</v>
      </c>
      <c r="N8" s="16"/>
      <c r="O8" s="221">
        <v>4</v>
      </c>
      <c r="R8" s="230"/>
      <c r="S8" s="230"/>
    </row>
    <row r="9" spans="1:19" ht="12" customHeight="1">
      <c r="A9" s="244">
        <v>5</v>
      </c>
      <c r="B9" s="119" t="s">
        <v>163</v>
      </c>
      <c r="C9" s="119"/>
      <c r="D9" s="245">
        <f>[1]!FP1190TitleIII</f>
        <v>0</v>
      </c>
      <c r="E9" s="16"/>
      <c r="F9" s="221">
        <v>5</v>
      </c>
      <c r="G9" s="246">
        <v>5</v>
      </c>
      <c r="H9" s="119" t="s">
        <v>164</v>
      </c>
      <c r="I9" s="119"/>
      <c r="J9" s="119"/>
      <c r="K9" s="119"/>
      <c r="M9" s="245">
        <f>[1]!P200RemedialEducation</f>
        <v>0</v>
      </c>
      <c r="N9" s="16"/>
      <c r="O9" s="221">
        <v>5</v>
      </c>
      <c r="R9" s="230"/>
      <c r="S9" s="230"/>
    </row>
    <row r="10" spans="1:19" ht="12" customHeight="1">
      <c r="A10" s="244">
        <v>6</v>
      </c>
      <c r="B10" s="119" t="s">
        <v>165</v>
      </c>
      <c r="C10" s="119"/>
      <c r="D10" s="245">
        <f>[1]!FP1200TitleVII</f>
        <v>0</v>
      </c>
      <c r="E10" s="16"/>
      <c r="F10" s="221">
        <v>6</v>
      </c>
      <c r="G10" s="246">
        <v>6</v>
      </c>
      <c r="H10" s="119" t="s">
        <v>166</v>
      </c>
      <c r="I10" s="119"/>
      <c r="J10" s="119"/>
      <c r="K10" s="119"/>
      <c r="M10" s="245">
        <f>[1]!P200VocationalandTechnologicalEd</f>
        <v>0</v>
      </c>
      <c r="N10" s="16"/>
      <c r="O10" s="221">
        <v>6</v>
      </c>
      <c r="R10" s="230"/>
      <c r="S10" s="230"/>
    </row>
    <row r="11" spans="1:19" ht="12" customHeight="1">
      <c r="A11" s="244">
        <v>7</v>
      </c>
      <c r="B11" s="119" t="s">
        <v>167</v>
      </c>
      <c r="C11" s="119"/>
      <c r="D11" s="245">
        <f>[1]!FP1210TitleVI</f>
        <v>0</v>
      </c>
      <c r="E11" s="16"/>
      <c r="F11" s="221">
        <v>7</v>
      </c>
      <c r="G11" s="246">
        <v>7</v>
      </c>
      <c r="H11" s="119" t="s">
        <v>168</v>
      </c>
      <c r="I11" s="119"/>
      <c r="J11" s="119"/>
      <c r="K11" s="119"/>
      <c r="M11" s="245">
        <f>[1]!P200CareerEducation</f>
        <v>0</v>
      </c>
      <c r="N11" s="16"/>
      <c r="O11" s="221">
        <v>7</v>
      </c>
      <c r="R11" s="230"/>
      <c r="S11" s="230"/>
    </row>
    <row r="12" spans="1:19" ht="12" customHeight="1">
      <c r="A12" s="244">
        <v>8</v>
      </c>
      <c r="B12" s="119" t="s">
        <v>169</v>
      </c>
      <c r="C12" s="119"/>
      <c r="D12" s="245">
        <f>[1]!FP1220IDEA</f>
        <v>0</v>
      </c>
      <c r="E12" s="16"/>
      <c r="F12" s="221">
        <v>8</v>
      </c>
      <c r="G12" s="246">
        <v>8</v>
      </c>
      <c r="H12" t="s">
        <v>170</v>
      </c>
      <c r="K12" s="119"/>
      <c r="M12" s="249">
        <f>SUM(M5:M11)</f>
        <v>70000</v>
      </c>
      <c r="N12" s="249">
        <f>SUM(N5:N11)</f>
        <v>72000</v>
      </c>
      <c r="O12" s="221">
        <v>8</v>
      </c>
      <c r="P12" s="140" t="str">
        <f>IF(SUM(N5:N11)=SUM('Page 1'!L37),"","Invalid. The amount must equal the total budgeted amount reported on page 1, line 27.")</f>
        <v/>
      </c>
      <c r="R12" s="230"/>
      <c r="S12" s="230"/>
    </row>
    <row r="13" spans="1:19" ht="12" customHeight="1">
      <c r="A13" s="244">
        <v>9</v>
      </c>
      <c r="B13" s="119" t="s">
        <v>171</v>
      </c>
      <c r="C13" s="119"/>
      <c r="D13" s="245">
        <f>[1]!FP1230Johnson</f>
        <v>0</v>
      </c>
      <c r="E13" s="16"/>
      <c r="F13" s="221">
        <v>9</v>
      </c>
      <c r="N13" s="230"/>
      <c r="O13" s="221"/>
      <c r="R13" s="230"/>
      <c r="S13" s="230"/>
    </row>
    <row r="14" spans="1:19" ht="12.75" customHeight="1">
      <c r="A14" s="244">
        <v>10</v>
      </c>
      <c r="B14" s="119" t="s">
        <v>172</v>
      </c>
      <c r="C14" s="119"/>
      <c r="D14" s="245">
        <f>[1]!FP1240WIA</f>
        <v>0</v>
      </c>
      <c r="E14" s="16"/>
      <c r="F14" s="221">
        <v>10</v>
      </c>
      <c r="G14" s="246">
        <v>9</v>
      </c>
      <c r="H14" s="540" t="s">
        <v>173</v>
      </c>
      <c r="I14" s="540"/>
      <c r="J14" s="540"/>
      <c r="K14" s="540"/>
      <c r="L14" s="540"/>
      <c r="M14" s="249">
        <f t="array" ref="M14">[1]!IEPtransportation</f>
        <v>0</v>
      </c>
      <c r="N14" s="17">
        <v>0</v>
      </c>
      <c r="O14" s="221">
        <v>9</v>
      </c>
      <c r="R14" s="230"/>
      <c r="S14" s="230"/>
    </row>
    <row r="15" spans="1:19" ht="12.75" customHeight="1">
      <c r="A15" s="244">
        <v>11</v>
      </c>
      <c r="B15" s="119" t="s">
        <v>174</v>
      </c>
      <c r="C15" s="119"/>
      <c r="D15" s="245">
        <f>[1]!FP1250AEA</f>
        <v>0</v>
      </c>
      <c r="E15" s="16"/>
      <c r="F15" s="221">
        <v>11</v>
      </c>
      <c r="H15" s="540"/>
      <c r="I15" s="540"/>
      <c r="J15" s="540"/>
      <c r="K15" s="540"/>
      <c r="L15" s="540"/>
      <c r="N15" s="230"/>
      <c r="O15" s="221"/>
      <c r="R15" s="230"/>
      <c r="S15" s="230"/>
    </row>
    <row r="16" spans="1:19" ht="12" customHeight="1">
      <c r="A16" s="244">
        <v>12</v>
      </c>
      <c r="B16" s="119" t="s">
        <v>175</v>
      </c>
      <c r="C16" s="119"/>
      <c r="D16" s="245">
        <f>[1]!FP12601270VocEd</f>
        <v>0</v>
      </c>
      <c r="E16" s="16"/>
      <c r="F16" s="221">
        <v>12</v>
      </c>
      <c r="G16" s="246"/>
      <c r="H16" s="119"/>
      <c r="I16" s="119"/>
      <c r="J16" s="119"/>
      <c r="K16" s="119"/>
      <c r="M16" s="250"/>
      <c r="N16" s="250"/>
      <c r="O16" s="221"/>
      <c r="R16" s="230"/>
      <c r="S16" s="230"/>
    </row>
    <row r="17" spans="1:19" ht="12" customHeight="1">
      <c r="A17" s="244">
        <v>13</v>
      </c>
      <c r="B17" s="119" t="s">
        <v>176</v>
      </c>
      <c r="C17" s="119"/>
      <c r="D17" s="245">
        <f>[1]!FP1280TitleX</f>
        <v>0</v>
      </c>
      <c r="E17" s="16"/>
      <c r="F17" s="221">
        <v>13</v>
      </c>
      <c r="G17" s="246"/>
      <c r="H17" s="242" t="s">
        <v>177</v>
      </c>
      <c r="I17" s="243"/>
      <c r="J17" s="243"/>
      <c r="K17" s="243"/>
      <c r="L17" s="243"/>
      <c r="M17" s="250"/>
      <c r="N17" s="250"/>
      <c r="O17" s="221"/>
      <c r="R17" s="230"/>
      <c r="S17" s="230"/>
    </row>
    <row r="18" spans="1:19" ht="12" customHeight="1">
      <c r="A18" s="244">
        <v>14</v>
      </c>
      <c r="B18" s="119" t="s">
        <v>178</v>
      </c>
      <c r="C18" s="119"/>
      <c r="D18" s="245">
        <f>[1]!FP1290Medicaid</f>
        <v>0</v>
      </c>
      <c r="E18" s="16"/>
      <c r="F18" s="221">
        <v>14</v>
      </c>
      <c r="G18" s="246"/>
      <c r="H18" s="413" t="s">
        <v>179</v>
      </c>
      <c r="M18" s="251"/>
      <c r="N18" s="251"/>
      <c r="R18" s="230"/>
      <c r="S18" s="230"/>
    </row>
    <row r="19" spans="1:19" ht="12" customHeight="1">
      <c r="A19" s="244">
        <v>15</v>
      </c>
      <c r="B19" s="119" t="s">
        <v>180</v>
      </c>
      <c r="C19" s="119"/>
      <c r="D19" s="249">
        <f>[1]!FP1300Charter</f>
        <v>0</v>
      </c>
      <c r="E19" s="17"/>
      <c r="F19" s="221">
        <v>15</v>
      </c>
      <c r="G19" s="246"/>
      <c r="H19" s="119"/>
      <c r="I19" s="119"/>
      <c r="J19" s="119"/>
      <c r="K19" s="119"/>
      <c r="M19" s="539" t="s">
        <v>181</v>
      </c>
      <c r="N19" s="539" t="s">
        <v>152</v>
      </c>
      <c r="R19" s="230"/>
      <c r="S19" s="230"/>
    </row>
    <row r="20" spans="1:19" ht="12" customHeight="1">
      <c r="A20" s="244">
        <v>16</v>
      </c>
      <c r="B20" s="119" t="s">
        <v>182</v>
      </c>
      <c r="C20" s="119"/>
      <c r="D20" s="252">
        <f>[1]!FP13__ImpactAid</f>
        <v>0</v>
      </c>
      <c r="E20" s="21"/>
      <c r="F20" s="221">
        <v>16</v>
      </c>
      <c r="G20" s="246"/>
      <c r="H20" s="119"/>
      <c r="I20" s="119"/>
      <c r="J20" s="119"/>
      <c r="K20" s="119"/>
      <c r="M20" s="539"/>
      <c r="N20" s="539"/>
      <c r="R20" s="230"/>
      <c r="S20" s="230"/>
    </row>
    <row r="21" spans="1:19" ht="12" customHeight="1" thickBot="1">
      <c r="A21" s="244">
        <v>17</v>
      </c>
      <c r="B21" s="253" t="s">
        <v>183</v>
      </c>
      <c r="C21" s="247"/>
      <c r="D21" s="254">
        <v>505209</v>
      </c>
      <c r="E21" s="18">
        <v>505209</v>
      </c>
      <c r="F21" s="221">
        <v>17</v>
      </c>
      <c r="G21" s="244" t="s">
        <v>6</v>
      </c>
      <c r="H21" s="413" t="s">
        <v>184</v>
      </c>
      <c r="I21" s="413"/>
      <c r="J21" s="119"/>
      <c r="K21" s="119"/>
      <c r="M21" s="249">
        <f>[1]!IIPTeacherCompensationIncreases</f>
        <v>0</v>
      </c>
      <c r="N21" s="17"/>
      <c r="O21" s="244" t="s">
        <v>6</v>
      </c>
      <c r="R21" s="230"/>
      <c r="S21" s="230"/>
    </row>
    <row r="22" spans="1:19" ht="12" customHeight="1" thickBot="1">
      <c r="A22" s="244">
        <v>18</v>
      </c>
      <c r="B22" s="119" t="s">
        <v>185</v>
      </c>
      <c r="C22" s="119"/>
      <c r="D22" s="255">
        <f>SUM(D5:D21)</f>
        <v>700000</v>
      </c>
      <c r="E22" s="255">
        <f>SUM(E5:E21)</f>
        <v>700000</v>
      </c>
      <c r="F22" s="221">
        <v>18</v>
      </c>
      <c r="G22" s="244" t="s">
        <v>10</v>
      </c>
      <c r="H22" s="119" t="s">
        <v>186</v>
      </c>
      <c r="I22" s="119"/>
      <c r="J22" s="256"/>
      <c r="M22" s="249">
        <f>[1]!IIPClassSizeReduction</f>
        <v>0</v>
      </c>
      <c r="N22" s="17"/>
      <c r="O22" s="244" t="s">
        <v>10</v>
      </c>
      <c r="R22" s="230"/>
      <c r="S22" s="230"/>
    </row>
    <row r="23" spans="1:19" ht="12.75" customHeight="1" thickTop="1">
      <c r="A23" s="257" t="s">
        <v>187</v>
      </c>
      <c r="B23" s="119"/>
      <c r="C23" s="119"/>
      <c r="D23" s="209"/>
      <c r="E23" s="258"/>
      <c r="F23" s="221"/>
      <c r="G23" s="244" t="s">
        <v>188</v>
      </c>
      <c r="H23" s="247" t="s">
        <v>189</v>
      </c>
      <c r="I23" s="247"/>
      <c r="J23" s="248"/>
      <c r="K23" s="259"/>
      <c r="M23" s="249">
        <f>[1]!IIPDropoutPreventionPrograms</f>
        <v>0</v>
      </c>
      <c r="N23" s="17"/>
      <c r="O23" s="244" t="s">
        <v>188</v>
      </c>
      <c r="R23" s="230"/>
      <c r="S23" s="230"/>
    </row>
    <row r="24" spans="1:19" ht="12" customHeight="1">
      <c r="A24" s="244">
        <v>19</v>
      </c>
      <c r="B24" s="119" t="s">
        <v>190</v>
      </c>
      <c r="C24" s="119"/>
      <c r="D24" s="217">
        <f>[1]!SP1400VocEd</f>
        <v>0</v>
      </c>
      <c r="E24" s="4"/>
      <c r="F24" s="221">
        <v>19</v>
      </c>
      <c r="G24" s="244" t="s">
        <v>191</v>
      </c>
      <c r="H24" s="247" t="s">
        <v>192</v>
      </c>
      <c r="I24" s="247"/>
      <c r="J24" s="248"/>
      <c r="K24" s="259"/>
      <c r="M24" s="249">
        <v>18000</v>
      </c>
      <c r="N24" s="17">
        <v>18000</v>
      </c>
      <c r="O24" s="244" t="s">
        <v>191</v>
      </c>
      <c r="R24" s="230"/>
      <c r="S24" s="230"/>
    </row>
    <row r="25" spans="1:19" ht="12" customHeight="1" thickBot="1">
      <c r="A25" s="244">
        <v>20</v>
      </c>
      <c r="B25" s="119" t="s">
        <v>193</v>
      </c>
      <c r="C25" s="119"/>
      <c r="D25" s="245">
        <f>[1]!SP1410EarlyChildhoodBlockGrant</f>
        <v>0</v>
      </c>
      <c r="E25" s="16"/>
      <c r="F25" s="221">
        <v>20</v>
      </c>
      <c r="G25" s="244" t="s">
        <v>194</v>
      </c>
      <c r="H25" s="413" t="s">
        <v>195</v>
      </c>
      <c r="I25" s="413"/>
      <c r="J25" s="119"/>
      <c r="K25" s="119"/>
      <c r="M25" s="255">
        <f>SUM(M21:M24)</f>
        <v>18000</v>
      </c>
      <c r="N25" s="255">
        <f>SUM(N21:N24)</f>
        <v>18000</v>
      </c>
      <c r="O25" s="244" t="s">
        <v>194</v>
      </c>
      <c r="R25" s="230"/>
      <c r="S25" s="230"/>
    </row>
    <row r="26" spans="1:19" ht="12" customHeight="1" thickTop="1">
      <c r="A26" s="244">
        <v>21</v>
      </c>
      <c r="B26" s="119" t="s">
        <v>196</v>
      </c>
      <c r="C26" s="119"/>
      <c r="D26" s="245">
        <f>[1]!FP1420ExtendedSchool</f>
        <v>0</v>
      </c>
      <c r="E26" s="16"/>
      <c r="F26" s="221">
        <v>21</v>
      </c>
      <c r="K26" s="256"/>
      <c r="R26" s="230"/>
      <c r="S26" s="230"/>
    </row>
    <row r="27" spans="1:19" ht="12" customHeight="1">
      <c r="A27" s="244">
        <v>22</v>
      </c>
      <c r="B27" s="119" t="s">
        <v>197</v>
      </c>
      <c r="C27" s="119"/>
      <c r="D27" s="245">
        <f>[1]!SP1425AdultBasicEd</f>
        <v>0</v>
      </c>
      <c r="E27" s="16"/>
      <c r="F27" s="221">
        <v>22</v>
      </c>
      <c r="H27" s="239" t="s">
        <v>198</v>
      </c>
      <c r="I27" s="132"/>
      <c r="J27" s="132"/>
      <c r="L27" s="242" t="s">
        <v>199</v>
      </c>
      <c r="M27" s="260"/>
      <c r="N27" s="260"/>
      <c r="O27" s="221"/>
      <c r="R27" s="230"/>
      <c r="S27" s="230"/>
    </row>
    <row r="28" spans="1:19" ht="12" customHeight="1">
      <c r="A28" s="244">
        <v>23</v>
      </c>
      <c r="B28" s="119" t="s">
        <v>200</v>
      </c>
      <c r="C28" s="119"/>
      <c r="D28" s="245">
        <f>[1]!SP1430ChemicalAbuse</f>
        <v>0</v>
      </c>
      <c r="E28" s="16"/>
      <c r="F28" s="221">
        <v>23</v>
      </c>
      <c r="H28" s="239" t="s">
        <v>201</v>
      </c>
      <c r="I28" s="132"/>
      <c r="J28" s="132"/>
      <c r="L28" s="132" t="s">
        <v>202</v>
      </c>
      <c r="M28" s="132"/>
      <c r="N28" s="132"/>
    </row>
    <row r="29" spans="1:19" ht="12" customHeight="1">
      <c r="A29" s="244">
        <v>24</v>
      </c>
      <c r="B29" s="119" t="s">
        <v>203</v>
      </c>
      <c r="C29" s="119"/>
      <c r="D29" s="245">
        <f>[1]!SP1435AcademicContests</f>
        <v>0</v>
      </c>
      <c r="E29" s="16"/>
      <c r="F29" s="221">
        <v>24</v>
      </c>
      <c r="H29" t="s">
        <v>204</v>
      </c>
      <c r="I29" s="429" t="s">
        <v>205</v>
      </c>
      <c r="J29" s="11">
        <v>15</v>
      </c>
      <c r="L29" s="40" t="s">
        <v>206</v>
      </c>
      <c r="N29" s="5">
        <v>20000</v>
      </c>
    </row>
    <row r="30" spans="1:19" ht="12" customHeight="1">
      <c r="A30" s="244">
        <v>25</v>
      </c>
      <c r="B30" s="119" t="s">
        <v>207</v>
      </c>
      <c r="C30" s="119"/>
      <c r="D30" s="245">
        <f>[1]!SP1450GiftedEd</f>
        <v>0</v>
      </c>
      <c r="E30" s="16"/>
      <c r="F30" s="221">
        <v>25</v>
      </c>
      <c r="G30" s="411"/>
      <c r="H30" t="s">
        <v>208</v>
      </c>
      <c r="I30" s="429" t="s">
        <v>205</v>
      </c>
      <c r="J30" s="22">
        <v>15</v>
      </c>
      <c r="K30" s="119"/>
      <c r="L30" s="40" t="s">
        <v>209</v>
      </c>
      <c r="N30" s="5">
        <f>1900500+44000</f>
        <v>1944500</v>
      </c>
      <c r="O30" s="95"/>
    </row>
    <row r="31" spans="1:19" ht="12" customHeight="1">
      <c r="A31" s="244">
        <v>26</v>
      </c>
      <c r="B31" s="247" t="s">
        <v>210</v>
      </c>
      <c r="C31" s="247"/>
      <c r="D31" s="245">
        <f>'[1]Page 2'!$E$31</f>
        <v>0</v>
      </c>
      <c r="E31" s="16"/>
      <c r="F31" s="221">
        <v>26</v>
      </c>
      <c r="I31" s="429"/>
      <c r="J31" s="261"/>
      <c r="L31" s="40"/>
      <c r="N31" s="230"/>
      <c r="O31" s="95"/>
    </row>
    <row r="32" spans="1:19" ht="12" customHeight="1">
      <c r="A32" s="244">
        <v>27</v>
      </c>
      <c r="B32" s="119" t="s">
        <v>211</v>
      </c>
      <c r="C32" s="119"/>
      <c r="D32" s="245">
        <f>[1]!SP1460EnvironmentalSpecialPlate</f>
        <v>0</v>
      </c>
      <c r="E32" s="16"/>
      <c r="F32" s="221">
        <v>27</v>
      </c>
      <c r="H32" s="262" t="s">
        <v>212</v>
      </c>
      <c r="I32" s="263"/>
      <c r="J32" s="264"/>
      <c r="K32" s="265"/>
      <c r="L32" s="265"/>
      <c r="M32" s="265"/>
      <c r="O32" s="95"/>
    </row>
    <row r="33" spans="1:15" ht="12" customHeight="1">
      <c r="A33" s="244">
        <v>28</v>
      </c>
      <c r="B33" s="119" t="s">
        <v>213</v>
      </c>
      <c r="C33" s="119"/>
      <c r="D33" s="245">
        <f>[1]!SP1465CharterSchool</f>
        <v>0</v>
      </c>
      <c r="E33" s="16"/>
      <c r="F33" s="221">
        <v>28</v>
      </c>
      <c r="H33" s="262" t="s">
        <v>214</v>
      </c>
      <c r="I33" s="263"/>
      <c r="J33" s="264"/>
      <c r="K33" s="265"/>
      <c r="L33" s="265"/>
      <c r="M33" s="265"/>
    </row>
    <row r="34" spans="1:15" ht="12" customHeight="1">
      <c r="A34" s="244">
        <v>29</v>
      </c>
      <c r="B34" s="253" t="s">
        <v>215</v>
      </c>
      <c r="C34" s="266"/>
      <c r="D34" s="245">
        <f>'[1]Page 2'!$E$35</f>
        <v>0</v>
      </c>
      <c r="E34" s="16"/>
      <c r="F34" s="221">
        <v>29</v>
      </c>
      <c r="H34" s="119" t="s">
        <v>216</v>
      </c>
      <c r="K34" s="132"/>
      <c r="M34" s="267"/>
    </row>
    <row r="35" spans="1:15" ht="12" customHeight="1" thickBot="1">
      <c r="A35" s="244">
        <v>30</v>
      </c>
      <c r="B35" s="253" t="s">
        <v>217</v>
      </c>
      <c r="C35" s="253"/>
      <c r="D35" s="245">
        <f>[1]!SP14701499Other</f>
        <v>0</v>
      </c>
      <c r="E35" s="16"/>
      <c r="F35" s="221">
        <v>30</v>
      </c>
      <c r="H35" s="119" t="s">
        <v>218</v>
      </c>
      <c r="M35" s="267"/>
      <c r="N35" s="5">
        <v>30000</v>
      </c>
    </row>
    <row r="36" spans="1:15" ht="12" customHeight="1" thickBot="1">
      <c r="A36" s="244">
        <v>31</v>
      </c>
      <c r="B36" s="119" t="s">
        <v>219</v>
      </c>
      <c r="C36" s="119"/>
      <c r="D36" s="268">
        <f>SUM(D24:D35)</f>
        <v>0</v>
      </c>
      <c r="E36" s="268">
        <f>SUM(E24:E35)</f>
        <v>0</v>
      </c>
      <c r="F36" s="221">
        <v>31</v>
      </c>
      <c r="H36" s="119"/>
      <c r="K36" s="132"/>
      <c r="O36" s="244"/>
    </row>
    <row r="37" spans="1:15" ht="12" customHeight="1" thickTop="1" thickBot="1">
      <c r="A37" s="244">
        <v>32</v>
      </c>
      <c r="B37" s="119" t="s">
        <v>220</v>
      </c>
      <c r="C37" s="119"/>
      <c r="D37" s="255">
        <f>D22+D36</f>
        <v>700000</v>
      </c>
      <c r="E37" s="255">
        <f>E22+E36</f>
        <v>700000</v>
      </c>
      <c r="F37" s="221">
        <v>32</v>
      </c>
      <c r="G37" s="198"/>
      <c r="H37" s="269" t="s">
        <v>221</v>
      </c>
      <c r="N37" s="270"/>
      <c r="O37" s="244"/>
    </row>
    <row r="38" spans="1:15" ht="12" customHeight="1" thickTop="1">
      <c r="A38" s="411"/>
      <c r="F38" s="221"/>
      <c r="G38" s="271"/>
      <c r="H38" s="119" t="s">
        <v>222</v>
      </c>
      <c r="I38" s="239"/>
      <c r="J38" s="272"/>
      <c r="K38" s="239"/>
      <c r="L38" s="272"/>
      <c r="M38" s="239"/>
      <c r="N38" s="5">
        <v>0</v>
      </c>
      <c r="O38" s="244"/>
    </row>
    <row r="39" spans="1:15" ht="24" customHeight="1">
      <c r="B39" s="273" t="s">
        <v>223</v>
      </c>
      <c r="C39" s="242"/>
      <c r="D39" s="421" t="s">
        <v>224</v>
      </c>
      <c r="E39" s="421" t="s">
        <v>225</v>
      </c>
      <c r="F39" s="221"/>
      <c r="G39" s="271"/>
      <c r="H39" s="119" t="s">
        <v>226</v>
      </c>
      <c r="I39" s="119"/>
      <c r="J39" s="119"/>
      <c r="K39" s="119"/>
      <c r="L39" s="119"/>
      <c r="M39" s="119"/>
      <c r="N39" s="5">
        <v>0</v>
      </c>
      <c r="O39" s="244"/>
    </row>
    <row r="40" spans="1:15" ht="13.2">
      <c r="A40" s="246">
        <v>1</v>
      </c>
      <c r="B40" t="s">
        <v>227</v>
      </c>
      <c r="D40" s="245">
        <f t="array" ref="D40">[1]!CA0181IntangibleAssets</f>
        <v>0</v>
      </c>
      <c r="E40" s="5"/>
      <c r="F40" s="221">
        <v>1</v>
      </c>
      <c r="G40" s="244"/>
      <c r="H40" s="256"/>
      <c r="I40" s="256"/>
      <c r="J40" s="256"/>
      <c r="K40" s="256"/>
      <c r="L40" s="256"/>
      <c r="M40" s="256"/>
      <c r="N40" s="230"/>
      <c r="O40" s="244"/>
    </row>
    <row r="41" spans="1:15" ht="12" customHeight="1">
      <c r="A41" s="246">
        <v>2</v>
      </c>
      <c r="B41" s="119" t="s">
        <v>228</v>
      </c>
      <c r="D41" s="217">
        <f>[1]!CA0191Land</f>
        <v>0</v>
      </c>
      <c r="E41" s="5"/>
      <c r="F41" s="221">
        <v>2</v>
      </c>
      <c r="G41" s="244"/>
    </row>
    <row r="42" spans="1:15" ht="12" customHeight="1">
      <c r="A42" s="246">
        <v>3</v>
      </c>
      <c r="B42" s="119" t="s">
        <v>229</v>
      </c>
      <c r="D42" s="217">
        <f>[1]!CA0192SiteImprovements</f>
        <v>0</v>
      </c>
      <c r="E42" s="4"/>
      <c r="F42" s="221">
        <v>3</v>
      </c>
      <c r="G42" s="271"/>
    </row>
    <row r="43" spans="1:15" ht="12" customHeight="1">
      <c r="A43" s="246">
        <v>4</v>
      </c>
      <c r="B43" s="119" t="s">
        <v>230</v>
      </c>
      <c r="D43" s="217">
        <v>200000</v>
      </c>
      <c r="E43" s="4">
        <v>500000</v>
      </c>
      <c r="F43" s="221">
        <v>4</v>
      </c>
      <c r="G43" s="244"/>
    </row>
    <row r="44" spans="1:15" ht="12" customHeight="1">
      <c r="A44" s="246">
        <v>5</v>
      </c>
      <c r="B44" s="119" t="s">
        <v>231</v>
      </c>
      <c r="D44" s="217">
        <v>200000</v>
      </c>
      <c r="E44" s="4"/>
      <c r="F44" s="221">
        <v>5</v>
      </c>
      <c r="G44" s="244"/>
    </row>
    <row r="45" spans="1:15" ht="12" customHeight="1" thickBot="1">
      <c r="A45" s="411">
        <v>6</v>
      </c>
      <c r="B45" s="119" t="s">
        <v>232</v>
      </c>
      <c r="D45" s="275">
        <f>[1]!CA0198CIP</f>
        <v>0</v>
      </c>
      <c r="E45" s="12"/>
      <c r="F45" s="221">
        <v>6</v>
      </c>
      <c r="G45" s="244"/>
    </row>
    <row r="46" spans="1:15" ht="12" customHeight="1" thickBot="1">
      <c r="A46" s="276">
        <v>7</v>
      </c>
      <c r="B46" s="119" t="s">
        <v>233</v>
      </c>
      <c r="D46" s="255">
        <f>SUM(D40:D45)</f>
        <v>400000</v>
      </c>
      <c r="E46" s="255">
        <f>SUM(E40:E45)</f>
        <v>500000</v>
      </c>
      <c r="F46" s="221">
        <v>7</v>
      </c>
      <c r="G46" s="274"/>
    </row>
    <row r="47" spans="1:15" ht="13.5" customHeight="1" thickTop="1">
      <c r="G47" s="274"/>
      <c r="N47" s="250"/>
    </row>
    <row r="48" spans="1:15" ht="13.5" customHeight="1">
      <c r="A48" s="276">
        <v>8</v>
      </c>
      <c r="B48" s="535" t="s">
        <v>234</v>
      </c>
      <c r="C48" s="536"/>
      <c r="D48" s="224">
        <f>[1]!CAK3Reading</f>
        <v>0</v>
      </c>
      <c r="E48" s="5"/>
      <c r="F48" s="221">
        <v>8</v>
      </c>
    </row>
    <row r="49" spans="9:9" ht="27" customHeight="1"/>
    <row r="50" spans="9:9" ht="12.75" customHeight="1">
      <c r="I50" s="40"/>
    </row>
  </sheetData>
  <mergeCells count="9">
    <mergeCell ref="Q3:Q4"/>
    <mergeCell ref="R3:R4"/>
    <mergeCell ref="C1:F1"/>
    <mergeCell ref="I1:K1"/>
    <mergeCell ref="B48:C48"/>
    <mergeCell ref="A3:C3"/>
    <mergeCell ref="M19:M20"/>
    <mergeCell ref="N19:N20"/>
    <mergeCell ref="H14:L15"/>
  </mergeCells>
  <conditionalFormatting sqref="N12">
    <cfRule type="cellIs" dxfId="5"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s>
  <printOptions horizontalCentered="1" verticalCentered="1"/>
  <pageMargins left="0.75" right="0.5" top="0.25" bottom="0.25" header="0" footer="0"/>
  <pageSetup scale="75" orientation="landscape" r:id="rId2"/>
  <headerFooter>
    <oddFooter>&amp;L&amp;"Arial,Bold"Rev. 5/24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19"/>
  <sheetViews>
    <sheetView showGridLines="0" workbookViewId="0">
      <selection activeCell="J14" sqref="J14"/>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417" t="str">
        <f>CharterName</f>
        <v>Nosotros Academy</v>
      </c>
      <c r="E1" s="40"/>
      <c r="F1" s="429" t="s">
        <v>47</v>
      </c>
      <c r="G1" s="412" t="str">
        <f>Cover!M1</f>
        <v>Pima</v>
      </c>
      <c r="H1" s="409"/>
      <c r="I1" s="409"/>
      <c r="J1" s="409"/>
      <c r="K1" s="429" t="s">
        <v>2</v>
      </c>
      <c r="L1" s="418" t="str">
        <f>CTD</f>
        <v>108707000</v>
      </c>
      <c r="M1" s="409"/>
    </row>
    <row r="2" spans="1:14" ht="12.75" customHeight="1">
      <c r="A2" s="132"/>
      <c r="B2" s="132"/>
      <c r="C2" s="132"/>
      <c r="D2" s="132"/>
      <c r="E2" s="132"/>
      <c r="F2" s="132"/>
      <c r="G2" s="132"/>
      <c r="H2" s="132"/>
      <c r="I2" s="132"/>
      <c r="J2" s="132"/>
      <c r="K2" s="132"/>
    </row>
    <row r="3" spans="1:14" ht="13.2">
      <c r="A3" s="132"/>
      <c r="B3" s="132"/>
      <c r="C3" s="132"/>
      <c r="D3" s="132"/>
      <c r="E3" s="132"/>
      <c r="F3" s="132"/>
      <c r="G3" s="132"/>
      <c r="H3" s="132"/>
      <c r="I3" s="132"/>
      <c r="J3" s="132"/>
      <c r="K3" s="132"/>
    </row>
    <row r="4" spans="1:14" ht="13.2">
      <c r="A4" s="277"/>
      <c r="B4" s="278"/>
      <c r="C4" s="278"/>
      <c r="D4" s="541"/>
      <c r="E4" s="279"/>
      <c r="F4" s="280"/>
      <c r="G4" s="208" t="s">
        <v>235</v>
      </c>
      <c r="H4" s="281" t="s">
        <v>101</v>
      </c>
      <c r="I4" s="282"/>
      <c r="J4" s="526" t="s">
        <v>102</v>
      </c>
      <c r="K4" s="527"/>
      <c r="L4" s="282" t="s">
        <v>108</v>
      </c>
    </row>
    <row r="5" spans="1:14" ht="12.75" customHeight="1">
      <c r="A5" s="283" t="s">
        <v>103</v>
      </c>
      <c r="D5" s="533"/>
      <c r="E5" s="92"/>
      <c r="F5" s="205" t="s">
        <v>109</v>
      </c>
      <c r="G5" s="108" t="s">
        <v>110</v>
      </c>
      <c r="H5" s="284" t="s">
        <v>105</v>
      </c>
      <c r="I5" s="205" t="s">
        <v>112</v>
      </c>
      <c r="J5" s="205" t="s">
        <v>236</v>
      </c>
      <c r="K5" s="205" t="s">
        <v>237</v>
      </c>
      <c r="L5" s="205" t="s">
        <v>115</v>
      </c>
    </row>
    <row r="6" spans="1:14" ht="13.2">
      <c r="A6" s="424"/>
      <c r="B6" s="425"/>
      <c r="C6" s="425"/>
      <c r="D6" s="425"/>
      <c r="E6" s="426"/>
      <c r="F6" s="212">
        <v>6100</v>
      </c>
      <c r="G6" s="285">
        <v>6200</v>
      </c>
      <c r="H6" s="284" t="s">
        <v>238</v>
      </c>
      <c r="I6" s="205">
        <v>6600</v>
      </c>
      <c r="J6" s="205">
        <v>2024</v>
      </c>
      <c r="K6" s="205">
        <v>2025</v>
      </c>
      <c r="L6" s="205" t="s">
        <v>117</v>
      </c>
    </row>
    <row r="7" spans="1:14" ht="12.75" customHeight="1">
      <c r="A7" s="286" t="s">
        <v>239</v>
      </c>
      <c r="B7" s="287"/>
      <c r="C7" s="287"/>
      <c r="D7" s="287"/>
      <c r="F7" s="213"/>
      <c r="G7" s="214"/>
      <c r="H7" s="213"/>
      <c r="I7" s="213"/>
      <c r="J7" s="288"/>
      <c r="K7" s="214"/>
      <c r="L7" s="216"/>
      <c r="M7" s="289"/>
      <c r="N7" s="290"/>
    </row>
    <row r="8" spans="1:14" ht="13.2">
      <c r="A8" s="54"/>
      <c r="C8" t="s">
        <v>119</v>
      </c>
      <c r="D8" s="204"/>
      <c r="E8" s="411">
        <v>1</v>
      </c>
      <c r="F8" s="4">
        <v>376000</v>
      </c>
      <c r="G8" s="19">
        <v>31000</v>
      </c>
      <c r="H8" s="4"/>
      <c r="I8" s="4"/>
      <c r="J8" s="467">
        <v>407000</v>
      </c>
      <c r="K8" s="218">
        <f t="shared" ref="K8:K12" si="0">SUM(F8:I8)</f>
        <v>407000</v>
      </c>
      <c r="L8" s="222">
        <f t="shared" ref="L8:L13" si="1">IF(J8=0," ",(K8-J8)/J8)</f>
        <v>0</v>
      </c>
      <c r="M8" s="221">
        <v>1</v>
      </c>
      <c r="N8" s="290"/>
    </row>
    <row r="9" spans="1:14" ht="12.75" customHeight="1">
      <c r="A9" s="54"/>
      <c r="C9" t="s">
        <v>240</v>
      </c>
      <c r="E9" s="411">
        <v>2</v>
      </c>
      <c r="F9" s="4"/>
      <c r="G9" s="4"/>
      <c r="H9" s="4"/>
      <c r="I9" s="4"/>
      <c r="J9" s="468" cm="1">
        <f t="array" ref="J9">[1]!_CSP2100</f>
        <v>0</v>
      </c>
      <c r="K9" s="218">
        <f t="shared" si="0"/>
        <v>0</v>
      </c>
      <c r="L9" s="222" t="str">
        <f t="shared" si="1"/>
        <v xml:space="preserve"> </v>
      </c>
      <c r="M9" s="221">
        <v>2</v>
      </c>
      <c r="N9" s="290"/>
    </row>
    <row r="10" spans="1:14" ht="13.2">
      <c r="A10" s="54"/>
      <c r="C10" t="s">
        <v>241</v>
      </c>
      <c r="E10" s="411">
        <v>3</v>
      </c>
      <c r="F10" s="4"/>
      <c r="G10" s="4"/>
      <c r="H10" s="4"/>
      <c r="I10" s="4"/>
      <c r="J10" s="468" cm="1">
        <f t="array" ref="J10">[1]!_CSP2200</f>
        <v>0</v>
      </c>
      <c r="K10" s="218">
        <f t="shared" si="0"/>
        <v>0</v>
      </c>
      <c r="L10" s="222" t="str">
        <f t="shared" si="1"/>
        <v xml:space="preserve"> </v>
      </c>
      <c r="M10" s="221">
        <v>3</v>
      </c>
      <c r="N10" s="290"/>
    </row>
    <row r="11" spans="1:14" ht="13.2">
      <c r="A11" s="54"/>
      <c r="C11" s="253" t="s">
        <v>242</v>
      </c>
      <c r="D11" s="253"/>
      <c r="E11" s="411">
        <v>4</v>
      </c>
      <c r="F11" s="235"/>
      <c r="G11" s="235"/>
      <c r="H11" s="4"/>
      <c r="I11" s="235"/>
      <c r="J11" s="468" cm="1">
        <f t="array" ref="J11">[1]!_CSP2300</f>
        <v>0</v>
      </c>
      <c r="K11" s="218">
        <f t="shared" si="0"/>
        <v>0</v>
      </c>
      <c r="L11" s="229" t="str">
        <f t="shared" si="1"/>
        <v xml:space="preserve"> </v>
      </c>
      <c r="M11" s="221">
        <v>4</v>
      </c>
    </row>
    <row r="12" spans="1:14" ht="12.75" customHeight="1">
      <c r="A12" s="54"/>
      <c r="C12" t="s">
        <v>243</v>
      </c>
      <c r="E12" s="411">
        <v>5</v>
      </c>
      <c r="F12" s="5"/>
      <c r="G12" s="5"/>
      <c r="H12" s="4"/>
      <c r="I12" s="235"/>
      <c r="J12" s="468" cm="1">
        <f t="array" ref="J12">[1]!_CSP3300</f>
        <v>0</v>
      </c>
      <c r="K12" s="218">
        <f t="shared" si="0"/>
        <v>0</v>
      </c>
      <c r="L12" s="222" t="str">
        <f t="shared" si="1"/>
        <v xml:space="preserve"> </v>
      </c>
      <c r="M12" s="221">
        <v>5</v>
      </c>
      <c r="N12" s="290"/>
    </row>
    <row r="13" spans="1:14" ht="12.75" customHeight="1">
      <c r="A13" s="76" t="s">
        <v>244</v>
      </c>
      <c r="B13" s="236"/>
      <c r="C13" s="236"/>
      <c r="D13" s="236"/>
      <c r="E13" s="291">
        <v>6</v>
      </c>
      <c r="F13" s="292">
        <f>SUM(F8:F12)</f>
        <v>376000</v>
      </c>
      <c r="G13" s="292">
        <f>SUM(G8:G12)</f>
        <v>31000</v>
      </c>
      <c r="H13" s="292">
        <f>SUM(H8:H12)</f>
        <v>0</v>
      </c>
      <c r="I13" s="292">
        <f>SUM(I8:I12)</f>
        <v>0</v>
      </c>
      <c r="J13" s="293">
        <v>407000</v>
      </c>
      <c r="K13" s="292">
        <f>SUM(F13:I13)</f>
        <v>407000</v>
      </c>
      <c r="L13" s="222">
        <f t="shared" si="1"/>
        <v>0</v>
      </c>
      <c r="M13" s="221">
        <v>6</v>
      </c>
    </row>
    <row r="16" spans="1:14" ht="12.75" customHeight="1">
      <c r="A16" s="286" t="s">
        <v>245</v>
      </c>
      <c r="B16" s="294"/>
      <c r="C16" s="294"/>
      <c r="D16" s="294"/>
    </row>
    <row r="17" spans="3:6" ht="12.75" customHeight="1">
      <c r="C17" t="s">
        <v>246</v>
      </c>
      <c r="D17" s="198"/>
      <c r="F17" s="5"/>
    </row>
    <row r="18" spans="3:6" ht="12.75" customHeight="1">
      <c r="C18" t="s">
        <v>222</v>
      </c>
      <c r="D18" s="198"/>
      <c r="F18" s="4"/>
    </row>
    <row r="19" spans="3:6" ht="12.75" customHeight="1">
      <c r="C19" t="s">
        <v>226</v>
      </c>
      <c r="D19" s="198"/>
      <c r="F19" s="4"/>
    </row>
  </sheetData>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s>
  <printOptions horizontalCentered="1"/>
  <pageMargins left="0.75" right="0.5" top="0.25" bottom="0.25" header="0" footer="0"/>
  <pageSetup scale="68" orientation="landscape" horizontalDpi="300" verticalDpi="300" r:id="rId1"/>
  <headerFooter>
    <oddFooter>&amp;L&amp;"Arial,Bold"Rev. 5/24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topLeftCell="A17" workbookViewId="0">
      <selection activeCell="G9" sqref="G9"/>
    </sheetView>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247</v>
      </c>
      <c r="D1" s="531" t="str">
        <f>CharterName</f>
        <v>Nosotros Academy</v>
      </c>
      <c r="E1" s="531"/>
      <c r="F1" s="531"/>
      <c r="G1" s="40"/>
      <c r="I1" s="429" t="s">
        <v>47</v>
      </c>
      <c r="J1" s="513" t="str">
        <f>Cover!M1</f>
        <v>Pima</v>
      </c>
      <c r="K1" s="513"/>
      <c r="M1" s="429" t="s">
        <v>2</v>
      </c>
      <c r="N1" s="532" t="str">
        <f>CTD</f>
        <v>108707000</v>
      </c>
      <c r="O1" s="532"/>
    </row>
    <row r="2" spans="1:16">
      <c r="A2" s="132"/>
      <c r="B2" s="132"/>
      <c r="C2" s="295"/>
      <c r="D2" s="132"/>
      <c r="E2" s="132"/>
      <c r="F2" s="132"/>
      <c r="G2" s="132"/>
      <c r="H2" s="132"/>
      <c r="I2" s="132"/>
      <c r="J2" s="132"/>
    </row>
    <row r="3" spans="1:16">
      <c r="A3" s="296"/>
      <c r="B3" s="297"/>
      <c r="C3" s="297"/>
      <c r="D3" s="541"/>
      <c r="E3" s="298"/>
      <c r="F3" s="299" t="s">
        <v>248</v>
      </c>
      <c r="G3" s="279"/>
      <c r="H3" s="216"/>
      <c r="I3" s="216"/>
      <c r="J3" s="282" t="s">
        <v>101</v>
      </c>
      <c r="K3" s="215"/>
      <c r="L3" s="215"/>
      <c r="M3" s="206" t="s">
        <v>102</v>
      </c>
      <c r="N3" s="207"/>
      <c r="O3" s="216"/>
    </row>
    <row r="4" spans="1:16">
      <c r="A4" s="283"/>
      <c r="D4" s="533"/>
      <c r="E4" s="92"/>
      <c r="F4" s="300" t="s">
        <v>249</v>
      </c>
      <c r="G4" s="301"/>
      <c r="H4" s="205"/>
      <c r="I4" s="205" t="s">
        <v>250</v>
      </c>
      <c r="J4" s="205" t="s">
        <v>105</v>
      </c>
      <c r="K4" s="209"/>
      <c r="L4" s="209"/>
      <c r="M4" s="209"/>
      <c r="N4" s="209"/>
      <c r="O4" s="205" t="s">
        <v>108</v>
      </c>
    </row>
    <row r="5" spans="1:16">
      <c r="A5" s="283" t="s">
        <v>103</v>
      </c>
      <c r="E5" s="92"/>
      <c r="F5" s="282" t="s">
        <v>106</v>
      </c>
      <c r="G5" s="282" t="s">
        <v>107</v>
      </c>
      <c r="H5" s="205" t="s">
        <v>109</v>
      </c>
      <c r="I5" s="205" t="s">
        <v>110</v>
      </c>
      <c r="J5" s="205" t="s">
        <v>111</v>
      </c>
      <c r="K5" s="205" t="s">
        <v>112</v>
      </c>
      <c r="L5" s="205" t="s">
        <v>113</v>
      </c>
      <c r="M5" s="205" t="s">
        <v>236</v>
      </c>
      <c r="N5" s="205" t="s">
        <v>237</v>
      </c>
      <c r="O5" s="205" t="s">
        <v>115</v>
      </c>
    </row>
    <row r="6" spans="1:16">
      <c r="A6" s="302"/>
      <c r="B6" s="425"/>
      <c r="C6" s="425"/>
      <c r="D6" s="425"/>
      <c r="E6" s="226"/>
      <c r="F6" s="205" t="s">
        <v>114</v>
      </c>
      <c r="G6" s="205" t="s">
        <v>114</v>
      </c>
      <c r="H6" s="212">
        <v>6100</v>
      </c>
      <c r="I6" s="212">
        <v>6200</v>
      </c>
      <c r="J6" s="212">
        <v>6500</v>
      </c>
      <c r="K6" s="212">
        <v>6600</v>
      </c>
      <c r="L6" s="212">
        <v>6800</v>
      </c>
      <c r="M6" s="205">
        <v>2024</v>
      </c>
      <c r="N6" s="205">
        <v>2025</v>
      </c>
      <c r="O6" s="205" t="s">
        <v>117</v>
      </c>
    </row>
    <row r="7" spans="1:16">
      <c r="A7" s="303" t="s">
        <v>251</v>
      </c>
      <c r="B7" s="304"/>
      <c r="C7" s="304"/>
      <c r="D7" s="304"/>
      <c r="E7" s="305"/>
      <c r="F7" s="306"/>
      <c r="G7" s="307"/>
      <c r="H7" s="213"/>
      <c r="I7" s="213"/>
      <c r="J7" s="213"/>
      <c r="K7" s="213"/>
      <c r="L7" s="214"/>
      <c r="M7" s="216"/>
      <c r="N7" s="216"/>
      <c r="O7" s="216"/>
    </row>
    <row r="8" spans="1:16">
      <c r="A8" s="54"/>
      <c r="B8" t="s">
        <v>252</v>
      </c>
      <c r="E8" s="411"/>
      <c r="F8" s="308"/>
      <c r="G8" s="309"/>
      <c r="H8" s="227"/>
      <c r="I8" s="227"/>
      <c r="J8" s="227"/>
      <c r="K8" s="227"/>
      <c r="L8" s="219"/>
      <c r="M8" s="227"/>
      <c r="N8" s="227"/>
      <c r="O8" s="220"/>
    </row>
    <row r="9" spans="1:16">
      <c r="A9" s="54"/>
      <c r="C9" t="s">
        <v>119</v>
      </c>
      <c r="E9" s="411">
        <v>1</v>
      </c>
      <c r="F9" s="310">
        <f>[1]!SEIP1071P260F1000PPL</f>
        <v>0</v>
      </c>
      <c r="G9" s="20"/>
      <c r="H9" s="4"/>
      <c r="I9" s="4"/>
      <c r="J9" s="4"/>
      <c r="K9" s="4"/>
      <c r="L9" s="19"/>
      <c r="M9" s="217" cm="1">
        <f t="array" ref="M9">[1]!SEIP1071P260F1000</f>
        <v>0</v>
      </c>
      <c r="N9" s="217">
        <f>SUM(H7:L9)</f>
        <v>0</v>
      </c>
      <c r="O9" s="222" t="str">
        <f>IF(M9=0," ",(N9-M9)/M9)</f>
        <v xml:space="preserve"> </v>
      </c>
      <c r="P9" s="221">
        <v>1</v>
      </c>
    </row>
    <row r="10" spans="1:16">
      <c r="A10" s="54"/>
      <c r="C10" t="s">
        <v>120</v>
      </c>
      <c r="E10" s="411"/>
      <c r="F10" s="216"/>
      <c r="G10" s="307"/>
      <c r="H10" s="213"/>
      <c r="I10" s="213"/>
      <c r="J10" s="213"/>
      <c r="K10" s="213"/>
      <c r="L10" s="214"/>
      <c r="M10" s="216"/>
      <c r="N10" s="216"/>
      <c r="O10" s="216"/>
      <c r="P10" s="221"/>
    </row>
    <row r="11" spans="1:16">
      <c r="A11" s="54"/>
      <c r="C11" t="s">
        <v>253</v>
      </c>
      <c r="E11" s="411">
        <v>2</v>
      </c>
      <c r="F11" s="310">
        <f>[1]!SEIP1071P260F2100PPL</f>
        <v>0</v>
      </c>
      <c r="G11" s="20"/>
      <c r="H11" s="4"/>
      <c r="I11" s="4"/>
      <c r="J11" s="4"/>
      <c r="K11" s="4"/>
      <c r="L11" s="19"/>
      <c r="M11" s="217" cm="1">
        <f t="array" ref="M11">[1]!SEIP1071P260F2100</f>
        <v>0</v>
      </c>
      <c r="N11" s="217">
        <f>SUM(H10:L11)</f>
        <v>0</v>
      </c>
      <c r="O11" s="222" t="str">
        <f>IF(M11=0," ",(N11-M11)/M11)</f>
        <v xml:space="preserve"> </v>
      </c>
      <c r="P11" s="221">
        <v>2</v>
      </c>
    </row>
    <row r="12" spans="1:16">
      <c r="A12" s="54"/>
      <c r="C12" t="s">
        <v>254</v>
      </c>
      <c r="E12" s="225">
        <v>3</v>
      </c>
      <c r="F12" s="310">
        <f>[1]!SEIP1071P260F2200PPL</f>
        <v>0</v>
      </c>
      <c r="G12" s="14"/>
      <c r="H12" s="15"/>
      <c r="I12" s="15"/>
      <c r="J12" s="15"/>
      <c r="K12" s="15"/>
      <c r="L12" s="15"/>
      <c r="M12" s="311" cm="1">
        <f t="array" ref="M12">[1]!SEIP1071P260F2200</f>
        <v>0</v>
      </c>
      <c r="N12" s="217">
        <f t="shared" ref="N12:N17" si="0">SUM(H12:L12)</f>
        <v>0</v>
      </c>
      <c r="O12" s="312" t="str">
        <f t="shared" ref="O12:O18" si="1">IF(M12=0," ",(N12-M12)/M12)</f>
        <v xml:space="preserve"> </v>
      </c>
      <c r="P12" s="223">
        <v>3</v>
      </c>
    </row>
    <row r="13" spans="1:16">
      <c r="A13" s="54"/>
      <c r="C13" t="s">
        <v>255</v>
      </c>
      <c r="E13" s="225">
        <v>4</v>
      </c>
      <c r="F13" s="313">
        <f>[1]!SEIP1071P260F2300PPL</f>
        <v>0</v>
      </c>
      <c r="G13" s="14"/>
      <c r="H13" s="15"/>
      <c r="I13" s="15"/>
      <c r="J13" s="15"/>
      <c r="K13" s="15"/>
      <c r="L13" s="15"/>
      <c r="M13" s="293" cm="1">
        <f t="array" ref="M13">[1]!SEIP1071P260F2300</f>
        <v>0</v>
      </c>
      <c r="N13" s="224">
        <f t="shared" si="0"/>
        <v>0</v>
      </c>
      <c r="O13" s="314" t="str">
        <f t="shared" si="1"/>
        <v xml:space="preserve"> </v>
      </c>
      <c r="P13" s="223">
        <v>4</v>
      </c>
    </row>
    <row r="14" spans="1:16">
      <c r="A14" s="54"/>
      <c r="C14" t="s">
        <v>256</v>
      </c>
      <c r="E14" s="225">
        <v>5</v>
      </c>
      <c r="F14" s="313">
        <f>[1]!SEIP1071P260F2400PPL</f>
        <v>0</v>
      </c>
      <c r="G14" s="14"/>
      <c r="H14" s="15"/>
      <c r="I14" s="15"/>
      <c r="J14" s="15"/>
      <c r="K14" s="15"/>
      <c r="L14" s="15"/>
      <c r="M14" s="293" cm="1">
        <f t="array" ref="M14">[1]!SEIP1071P260F2400</f>
        <v>0</v>
      </c>
      <c r="N14" s="224">
        <f t="shared" si="0"/>
        <v>0</v>
      </c>
      <c r="O14" s="314" t="str">
        <f t="shared" si="1"/>
        <v xml:space="preserve"> </v>
      </c>
      <c r="P14" s="223">
        <v>5</v>
      </c>
    </row>
    <row r="15" spans="1:16">
      <c r="A15" s="54"/>
      <c r="C15" t="s">
        <v>257</v>
      </c>
      <c r="E15" s="225">
        <v>6</v>
      </c>
      <c r="F15" s="313">
        <f>[1]!SEIP1071P260F2500PPL</f>
        <v>0</v>
      </c>
      <c r="G15" s="14"/>
      <c r="H15" s="15"/>
      <c r="I15" s="15"/>
      <c r="J15" s="15"/>
      <c r="K15" s="15"/>
      <c r="L15" s="15"/>
      <c r="M15" s="293" cm="1">
        <f t="array" ref="M15">[1]!SEIP1071P260F2500</f>
        <v>0</v>
      </c>
      <c r="N15" s="224">
        <f t="shared" si="0"/>
        <v>0</v>
      </c>
      <c r="O15" s="314" t="str">
        <f t="shared" si="1"/>
        <v xml:space="preserve"> </v>
      </c>
      <c r="P15" s="223">
        <v>6</v>
      </c>
    </row>
    <row r="16" spans="1:16">
      <c r="A16" s="54"/>
      <c r="C16" t="s">
        <v>258</v>
      </c>
      <c r="E16" s="225">
        <v>7</v>
      </c>
      <c r="F16" s="313">
        <f>[1]!SEIP1071P260F2600PPL</f>
        <v>0</v>
      </c>
      <c r="G16" s="9"/>
      <c r="H16" s="5"/>
      <c r="I16" s="5"/>
      <c r="J16" s="5"/>
      <c r="K16" s="5"/>
      <c r="L16" s="5"/>
      <c r="M16" s="293" cm="1">
        <f t="array" ref="M16">[1]!SEIP1071P260F2600</f>
        <v>0</v>
      </c>
      <c r="N16" s="224">
        <f t="shared" si="0"/>
        <v>0</v>
      </c>
      <c r="O16" s="314" t="str">
        <f t="shared" si="1"/>
        <v xml:space="preserve"> </v>
      </c>
      <c r="P16" s="223">
        <v>7</v>
      </c>
    </row>
    <row r="17" spans="1:16">
      <c r="A17" s="54"/>
      <c r="C17" t="s">
        <v>259</v>
      </c>
      <c r="E17" s="225">
        <v>8</v>
      </c>
      <c r="F17" s="313">
        <f>[1]!SEIP1071P260F2900PPL</f>
        <v>0</v>
      </c>
      <c r="G17" s="10"/>
      <c r="H17" s="4"/>
      <c r="I17" s="4"/>
      <c r="J17" s="4"/>
      <c r="K17" s="4"/>
      <c r="L17" s="4"/>
      <c r="M17" s="293" cm="1">
        <f t="array" ref="M17">[1]!SEIP1071P260F2900</f>
        <v>0</v>
      </c>
      <c r="N17" s="224">
        <f t="shared" si="0"/>
        <v>0</v>
      </c>
      <c r="O17" s="314" t="str">
        <f t="shared" si="1"/>
        <v xml:space="preserve"> </v>
      </c>
      <c r="P17" s="223">
        <v>8</v>
      </c>
    </row>
    <row r="18" spans="1:16">
      <c r="A18" s="424"/>
      <c r="B18" s="425" t="s">
        <v>260</v>
      </c>
      <c r="C18" s="425"/>
      <c r="D18" s="425"/>
      <c r="E18" s="226">
        <v>9</v>
      </c>
      <c r="F18" s="308">
        <f>SUM(F8:F17)</f>
        <v>0</v>
      </c>
      <c r="G18" s="310">
        <f t="shared" ref="G18:L18" si="2">SUM(G7:G17)</f>
        <v>0</v>
      </c>
      <c r="H18" s="217">
        <f t="shared" si="2"/>
        <v>0</v>
      </c>
      <c r="I18" s="217">
        <f t="shared" si="2"/>
        <v>0</v>
      </c>
      <c r="J18" s="217">
        <f t="shared" si="2"/>
        <v>0</v>
      </c>
      <c r="K18" s="217">
        <f t="shared" si="2"/>
        <v>0</v>
      </c>
      <c r="L18" s="217">
        <f t="shared" si="2"/>
        <v>0</v>
      </c>
      <c r="M18" s="227">
        <f>SUM(M8:M17)</f>
        <v>0</v>
      </c>
      <c r="N18" s="227">
        <f>SUM(N8:N17)</f>
        <v>0</v>
      </c>
      <c r="O18" s="315" t="str">
        <f t="shared" si="1"/>
        <v xml:space="preserve"> </v>
      </c>
      <c r="P18" s="221">
        <v>9</v>
      </c>
    </row>
    <row r="19" spans="1:16">
      <c r="A19" s="54"/>
      <c r="B19" t="s">
        <v>261</v>
      </c>
      <c r="E19" s="411"/>
      <c r="F19" s="216"/>
      <c r="G19" s="307"/>
      <c r="H19" s="213"/>
      <c r="I19" s="213"/>
      <c r="J19" s="213"/>
      <c r="K19" s="213"/>
      <c r="L19" s="214"/>
      <c r="M19" s="216"/>
      <c r="N19" s="215"/>
      <c r="O19" s="216"/>
      <c r="P19" s="221"/>
    </row>
    <row r="20" spans="1:16">
      <c r="A20" s="54"/>
      <c r="C20" t="s">
        <v>120</v>
      </c>
      <c r="E20" s="411"/>
      <c r="F20" s="308"/>
      <c r="G20" s="309"/>
      <c r="H20" s="227"/>
      <c r="I20" s="227"/>
      <c r="J20" s="227"/>
      <c r="K20" s="227"/>
      <c r="L20" s="219"/>
      <c r="M20" s="227"/>
      <c r="N20" s="219"/>
      <c r="O20" s="220"/>
      <c r="P20" s="221"/>
    </row>
    <row r="21" spans="1:16">
      <c r="A21" s="54"/>
      <c r="C21" t="s">
        <v>262</v>
      </c>
      <c r="E21" s="411">
        <v>10</v>
      </c>
      <c r="F21" s="310">
        <f>[1]!SEIP1071P430F2700PPL</f>
        <v>0</v>
      </c>
      <c r="G21" s="20"/>
      <c r="H21" s="4"/>
      <c r="I21" s="4"/>
      <c r="J21" s="4"/>
      <c r="K21" s="4"/>
      <c r="L21" s="19"/>
      <c r="M21" s="217" cm="1">
        <f t="array" ref="M21">[1]!SEIP1071P430F2700</f>
        <v>0</v>
      </c>
      <c r="N21" s="218">
        <f>SUM(H19:L21)</f>
        <v>0</v>
      </c>
      <c r="O21" s="222" t="str">
        <f>IF(M21=0," ",(N21-M21)/M21)</f>
        <v xml:space="preserve"> </v>
      </c>
      <c r="P21" s="221">
        <v>10</v>
      </c>
    </row>
    <row r="22" spans="1:16">
      <c r="A22" s="76" t="s">
        <v>263</v>
      </c>
      <c r="B22" s="236"/>
      <c r="C22" s="236"/>
      <c r="D22" s="236"/>
      <c r="E22" s="291">
        <v>11</v>
      </c>
      <c r="F22" s="310">
        <f t="shared" ref="F22:L22" si="3">SUM(F18:F21)</f>
        <v>0</v>
      </c>
      <c r="G22" s="310">
        <f t="shared" si="3"/>
        <v>0</v>
      </c>
      <c r="H22" s="224">
        <f t="shared" si="3"/>
        <v>0</v>
      </c>
      <c r="I22" s="224">
        <f t="shared" si="3"/>
        <v>0</v>
      </c>
      <c r="J22" s="224">
        <f t="shared" si="3"/>
        <v>0</v>
      </c>
      <c r="K22" s="224">
        <f t="shared" si="3"/>
        <v>0</v>
      </c>
      <c r="L22" s="224">
        <f t="shared" si="3"/>
        <v>0</v>
      </c>
      <c r="M22" s="217" cm="1">
        <f t="array" ref="M22">[1]!TotalSEIP</f>
        <v>0</v>
      </c>
      <c r="N22" s="217">
        <f>SUM(N18:N21)</f>
        <v>0</v>
      </c>
      <c r="O22" s="222" t="str">
        <f>IF(M22=0," ",(N22-M22)/M22)</f>
        <v xml:space="preserve"> </v>
      </c>
      <c r="P22" s="223">
        <v>11</v>
      </c>
    </row>
    <row r="24" spans="1:16">
      <c r="A24" s="296"/>
      <c r="B24" s="297"/>
      <c r="C24" s="297"/>
      <c r="D24" s="297"/>
      <c r="E24" s="298"/>
      <c r="F24" s="299" t="s">
        <v>248</v>
      </c>
      <c r="G24" s="279"/>
      <c r="H24" s="216"/>
      <c r="I24" s="216"/>
      <c r="J24" s="282" t="s">
        <v>101</v>
      </c>
      <c r="K24" s="215"/>
      <c r="L24" s="215"/>
      <c r="M24" s="206" t="s">
        <v>102</v>
      </c>
      <c r="N24" s="207"/>
      <c r="O24" s="216"/>
    </row>
    <row r="25" spans="1:16">
      <c r="A25" s="283"/>
      <c r="E25" s="92"/>
      <c r="F25" s="300" t="s">
        <v>249</v>
      </c>
      <c r="G25" s="301"/>
      <c r="H25" s="205"/>
      <c r="I25" s="205" t="s">
        <v>250</v>
      </c>
      <c r="J25" s="205" t="s">
        <v>105</v>
      </c>
      <c r="K25" s="209"/>
      <c r="L25" s="209"/>
      <c r="M25" s="209"/>
      <c r="N25" s="209"/>
      <c r="O25" s="205" t="s">
        <v>108</v>
      </c>
    </row>
    <row r="26" spans="1:16">
      <c r="A26" s="283" t="s">
        <v>103</v>
      </c>
      <c r="E26" s="92"/>
      <c r="F26" s="282" t="s">
        <v>106</v>
      </c>
      <c r="G26" s="282" t="s">
        <v>107</v>
      </c>
      <c r="H26" s="205" t="s">
        <v>109</v>
      </c>
      <c r="I26" s="205" t="s">
        <v>110</v>
      </c>
      <c r="J26" s="205" t="s">
        <v>111</v>
      </c>
      <c r="K26" s="205" t="s">
        <v>112</v>
      </c>
      <c r="L26" s="205" t="s">
        <v>113</v>
      </c>
      <c r="M26" s="205" t="s">
        <v>236</v>
      </c>
      <c r="N26" s="205" t="s">
        <v>237</v>
      </c>
      <c r="O26" s="205" t="s">
        <v>115</v>
      </c>
    </row>
    <row r="27" spans="1:16">
      <c r="A27" s="302"/>
      <c r="B27" s="425"/>
      <c r="C27" s="425"/>
      <c r="D27" s="425"/>
      <c r="E27" s="226"/>
      <c r="F27" s="205" t="s">
        <v>114</v>
      </c>
      <c r="G27" s="205" t="s">
        <v>114</v>
      </c>
      <c r="H27" s="212">
        <v>6100</v>
      </c>
      <c r="I27" s="212">
        <v>6200</v>
      </c>
      <c r="J27" s="212">
        <v>6500</v>
      </c>
      <c r="K27" s="212">
        <v>6600</v>
      </c>
      <c r="L27" s="212">
        <v>6800</v>
      </c>
      <c r="M27" s="205">
        <v>2024</v>
      </c>
      <c r="N27" s="205">
        <v>2025</v>
      </c>
      <c r="O27" s="205" t="s">
        <v>117</v>
      </c>
    </row>
    <row r="28" spans="1:16">
      <c r="A28" s="303" t="s">
        <v>264</v>
      </c>
      <c r="B28" s="316"/>
      <c r="C28" s="316"/>
      <c r="D28" s="316"/>
      <c r="E28" s="317"/>
      <c r="F28" s="216"/>
      <c r="G28" s="307"/>
      <c r="H28" s="213"/>
      <c r="I28" s="213"/>
      <c r="J28" s="213"/>
      <c r="K28" s="213"/>
      <c r="L28" s="214"/>
      <c r="M28" s="216"/>
      <c r="N28" s="216"/>
      <c r="O28" s="216"/>
    </row>
    <row r="29" spans="1:16">
      <c r="A29" s="54"/>
      <c r="B29" t="s">
        <v>265</v>
      </c>
      <c r="E29" s="411"/>
      <c r="F29" s="308"/>
      <c r="G29" s="309"/>
      <c r="H29" s="227"/>
      <c r="I29" s="227"/>
      <c r="J29" s="227"/>
      <c r="K29" s="227"/>
      <c r="L29" s="219"/>
      <c r="M29" s="227"/>
      <c r="N29" s="227"/>
      <c r="O29" s="220"/>
    </row>
    <row r="30" spans="1:16">
      <c r="A30" s="54"/>
      <c r="C30" t="s">
        <v>119</v>
      </c>
      <c r="E30" s="411">
        <v>12</v>
      </c>
      <c r="F30" s="310">
        <f>[1]!CIP1072P265F1000PPL</f>
        <v>0</v>
      </c>
      <c r="G30" s="20"/>
      <c r="H30" s="4"/>
      <c r="I30" s="4"/>
      <c r="J30" s="4"/>
      <c r="K30" s="4"/>
      <c r="L30" s="19"/>
      <c r="M30" s="217" cm="1">
        <f t="array" ref="M30">[1]!CIP1072P265F1000</f>
        <v>0</v>
      </c>
      <c r="N30" s="217">
        <f>SUM(H28:L30)</f>
        <v>0</v>
      </c>
      <c r="O30" s="222" t="str">
        <f>IF(M30=0," ",(N30-M30)/M30)</f>
        <v xml:space="preserve"> </v>
      </c>
      <c r="P30" s="221">
        <v>12</v>
      </c>
    </row>
    <row r="31" spans="1:16">
      <c r="A31" s="54"/>
      <c r="C31" t="s">
        <v>120</v>
      </c>
      <c r="E31" s="411"/>
      <c r="F31" s="216"/>
      <c r="G31" s="307"/>
      <c r="H31" s="213"/>
      <c r="I31" s="213"/>
      <c r="J31" s="213"/>
      <c r="K31" s="213"/>
      <c r="L31" s="214"/>
      <c r="M31" s="216"/>
      <c r="N31" s="216"/>
      <c r="O31" s="216"/>
    </row>
    <row r="32" spans="1:16">
      <c r="A32" s="54"/>
      <c r="C32" t="s">
        <v>253</v>
      </c>
      <c r="E32" s="411">
        <v>13</v>
      </c>
      <c r="F32" s="310">
        <f>[1]!CIP1072P265F2100PPL</f>
        <v>0</v>
      </c>
      <c r="G32" s="20"/>
      <c r="H32" s="4"/>
      <c r="I32" s="4"/>
      <c r="J32" s="4"/>
      <c r="K32" s="4"/>
      <c r="L32" s="19"/>
      <c r="M32" s="217" cm="1">
        <f t="array" ref="M32">[1]!CIP1072P265F2100</f>
        <v>0</v>
      </c>
      <c r="N32" s="217">
        <f>SUM(H31:L32)</f>
        <v>0</v>
      </c>
      <c r="O32" s="222" t="str">
        <f>IF(M32=0," ",(N32-M32)/M32)</f>
        <v xml:space="preserve"> </v>
      </c>
      <c r="P32" s="221">
        <v>13</v>
      </c>
    </row>
    <row r="33" spans="1:16">
      <c r="A33" s="54"/>
      <c r="C33" t="s">
        <v>254</v>
      </c>
      <c r="E33" s="225">
        <v>14</v>
      </c>
      <c r="F33" s="310">
        <f>[1]!CIP1072P265F2200PPL</f>
        <v>0</v>
      </c>
      <c r="G33" s="14"/>
      <c r="H33" s="15"/>
      <c r="I33" s="15"/>
      <c r="J33" s="15"/>
      <c r="K33" s="15"/>
      <c r="L33" s="15"/>
      <c r="M33" s="311" cm="1">
        <f t="array" ref="M33">[1]!CIP1072P265F2200</f>
        <v>0</v>
      </c>
      <c r="N33" s="217">
        <f t="shared" ref="N33:N38" si="4">SUM(H33:L33)</f>
        <v>0</v>
      </c>
      <c r="O33" s="312" t="str">
        <f t="shared" ref="O33:O39" si="5">IF(M33=0," ",(N33-M33)/M33)</f>
        <v xml:space="preserve"> </v>
      </c>
      <c r="P33" s="223">
        <v>14</v>
      </c>
    </row>
    <row r="34" spans="1:16">
      <c r="A34" s="54"/>
      <c r="C34" t="s">
        <v>255</v>
      </c>
      <c r="E34" s="225">
        <v>15</v>
      </c>
      <c r="F34" s="310">
        <f>[1]!CIP1072P265F2300PPL</f>
        <v>0</v>
      </c>
      <c r="G34" s="8"/>
      <c r="H34" s="6"/>
      <c r="I34" s="6"/>
      <c r="J34" s="6"/>
      <c r="K34" s="6"/>
      <c r="L34" s="6"/>
      <c r="M34" s="293" cm="1">
        <f t="array" ref="M34">[1]!CIP1072P265F2300</f>
        <v>0</v>
      </c>
      <c r="N34" s="224">
        <f t="shared" si="4"/>
        <v>0</v>
      </c>
      <c r="O34" s="314" t="str">
        <f t="shared" si="5"/>
        <v xml:space="preserve"> </v>
      </c>
      <c r="P34" s="223">
        <v>15</v>
      </c>
    </row>
    <row r="35" spans="1:16">
      <c r="A35" s="54"/>
      <c r="C35" t="s">
        <v>256</v>
      </c>
      <c r="E35" s="225">
        <v>16</v>
      </c>
      <c r="F35" s="310">
        <f>[1]!CIP1072P265F2400PPL</f>
        <v>0</v>
      </c>
      <c r="G35" s="8"/>
      <c r="H35" s="6"/>
      <c r="I35" s="6"/>
      <c r="J35" s="6"/>
      <c r="K35" s="6"/>
      <c r="L35" s="6"/>
      <c r="M35" s="293" cm="1">
        <f t="array" ref="M35">[1]!CIP1072P265F2400</f>
        <v>0</v>
      </c>
      <c r="N35" s="224">
        <f t="shared" si="4"/>
        <v>0</v>
      </c>
      <c r="O35" s="314" t="str">
        <f t="shared" si="5"/>
        <v xml:space="preserve"> </v>
      </c>
      <c r="P35" s="223">
        <v>16</v>
      </c>
    </row>
    <row r="36" spans="1:16">
      <c r="A36" s="54"/>
      <c r="C36" t="s">
        <v>257</v>
      </c>
      <c r="E36" s="225">
        <v>17</v>
      </c>
      <c r="F36" s="310">
        <f>[1]!CIP1072P265F2500PPL</f>
        <v>0</v>
      </c>
      <c r="G36" s="8"/>
      <c r="H36" s="6"/>
      <c r="I36" s="6"/>
      <c r="J36" s="6"/>
      <c r="K36" s="6"/>
      <c r="L36" s="6"/>
      <c r="M36" s="293" cm="1">
        <f t="array" ref="M36">[1]!CIP1072P265F2500</f>
        <v>0</v>
      </c>
      <c r="N36" s="224">
        <f t="shared" si="4"/>
        <v>0</v>
      </c>
      <c r="O36" s="314" t="str">
        <f t="shared" si="5"/>
        <v xml:space="preserve"> </v>
      </c>
      <c r="P36" s="223">
        <v>17</v>
      </c>
    </row>
    <row r="37" spans="1:16">
      <c r="A37" s="54"/>
      <c r="C37" t="s">
        <v>258</v>
      </c>
      <c r="E37" s="225">
        <v>18</v>
      </c>
      <c r="F37" s="313">
        <f>[1]!CIP1072P265F2600PPL</f>
        <v>0</v>
      </c>
      <c r="G37" s="9"/>
      <c r="H37" s="5"/>
      <c r="I37" s="5"/>
      <c r="J37" s="5"/>
      <c r="K37" s="5"/>
      <c r="L37" s="5"/>
      <c r="M37" s="293" cm="1">
        <f t="array" ref="M37">[1]!CIP1072P265F2600</f>
        <v>0</v>
      </c>
      <c r="N37" s="224">
        <f t="shared" si="4"/>
        <v>0</v>
      </c>
      <c r="O37" s="314" t="str">
        <f t="shared" si="5"/>
        <v xml:space="preserve"> </v>
      </c>
      <c r="P37" s="223">
        <v>18</v>
      </c>
    </row>
    <row r="38" spans="1:16">
      <c r="A38" s="54"/>
      <c r="C38" t="s">
        <v>259</v>
      </c>
      <c r="E38" s="225">
        <v>19</v>
      </c>
      <c r="F38" s="310">
        <f>[1]!CIP1072P265F2900PPL</f>
        <v>0</v>
      </c>
      <c r="G38" s="10"/>
      <c r="H38" s="4"/>
      <c r="I38" s="4"/>
      <c r="J38" s="4"/>
      <c r="K38" s="4"/>
      <c r="L38" s="4"/>
      <c r="M38" s="293" cm="1">
        <f t="array" ref="M38">[1]!CIP1072P265F2900</f>
        <v>0</v>
      </c>
      <c r="N38" s="224">
        <f t="shared" si="4"/>
        <v>0</v>
      </c>
      <c r="O38" s="314" t="str">
        <f t="shared" si="5"/>
        <v xml:space="preserve"> </v>
      </c>
      <c r="P38" s="223">
        <v>19</v>
      </c>
    </row>
    <row r="39" spans="1:16">
      <c r="A39" s="424"/>
      <c r="B39" s="425" t="s">
        <v>266</v>
      </c>
      <c r="C39" s="425"/>
      <c r="D39" s="425"/>
      <c r="E39" s="226">
        <v>20</v>
      </c>
      <c r="F39" s="308">
        <f>SUM(F29:F38)</f>
        <v>0</v>
      </c>
      <c r="G39" s="310">
        <f t="shared" ref="G39:L39" si="6">SUM(G28:G38)</f>
        <v>0</v>
      </c>
      <c r="H39" s="217">
        <f t="shared" si="6"/>
        <v>0</v>
      </c>
      <c r="I39" s="217">
        <f t="shared" si="6"/>
        <v>0</v>
      </c>
      <c r="J39" s="217">
        <f t="shared" si="6"/>
        <v>0</v>
      </c>
      <c r="K39" s="217">
        <f t="shared" si="6"/>
        <v>0</v>
      </c>
      <c r="L39" s="217">
        <f t="shared" si="6"/>
        <v>0</v>
      </c>
      <c r="M39" s="227">
        <f>SUM(M29:M38)</f>
        <v>0</v>
      </c>
      <c r="N39" s="227">
        <f>SUM(N29:N38)</f>
        <v>0</v>
      </c>
      <c r="O39" s="315" t="str">
        <f t="shared" si="5"/>
        <v xml:space="preserve"> </v>
      </c>
      <c r="P39" s="221">
        <v>20</v>
      </c>
    </row>
    <row r="40" spans="1:16">
      <c r="A40" s="54"/>
      <c r="B40" t="s">
        <v>267</v>
      </c>
      <c r="E40" s="411"/>
      <c r="F40" s="216"/>
      <c r="G40" s="307"/>
      <c r="H40" s="213"/>
      <c r="I40" s="213"/>
      <c r="J40" s="213"/>
      <c r="K40" s="213"/>
      <c r="L40" s="214"/>
      <c r="M40" s="216"/>
      <c r="N40" s="216"/>
      <c r="O40" s="216"/>
      <c r="P40" s="221"/>
    </row>
    <row r="41" spans="1:16">
      <c r="A41" s="54"/>
      <c r="C41" t="s">
        <v>120</v>
      </c>
      <c r="E41" s="411"/>
      <c r="F41" s="308"/>
      <c r="G41" s="309"/>
      <c r="H41" s="227"/>
      <c r="I41" s="227"/>
      <c r="J41" s="227"/>
      <c r="K41" s="227"/>
      <c r="L41" s="219"/>
      <c r="M41" s="227"/>
      <c r="N41" s="227"/>
      <c r="O41" s="220"/>
      <c r="P41" s="221"/>
    </row>
    <row r="42" spans="1:16">
      <c r="A42" s="54"/>
      <c r="C42" t="s">
        <v>262</v>
      </c>
      <c r="E42" s="411">
        <v>21</v>
      </c>
      <c r="F42" s="310">
        <f>[1]!CIP1072P435F2700PPL</f>
        <v>0</v>
      </c>
      <c r="G42" s="20"/>
      <c r="H42" s="4"/>
      <c r="I42" s="4"/>
      <c r="J42" s="4"/>
      <c r="K42" s="4"/>
      <c r="L42" s="19"/>
      <c r="M42" s="217" cm="1">
        <f t="array" ref="M42">[1]!CIP1072P435F2700</f>
        <v>0</v>
      </c>
      <c r="N42" s="217">
        <f>SUM(H40:L42)</f>
        <v>0</v>
      </c>
      <c r="O42" s="222" t="str">
        <f>IF(M42=0," ",(N42-M42)/M42)</f>
        <v xml:space="preserve"> </v>
      </c>
      <c r="P42" s="221">
        <v>21</v>
      </c>
    </row>
    <row r="43" spans="1:16">
      <c r="A43" s="76" t="s">
        <v>268</v>
      </c>
      <c r="B43" s="236"/>
      <c r="C43" s="236"/>
      <c r="D43" s="236"/>
      <c r="E43" s="291">
        <v>22</v>
      </c>
      <c r="F43" s="310">
        <f>SUM(F39:F42)</f>
        <v>0</v>
      </c>
      <c r="G43" s="310">
        <f t="shared" ref="G43:L43" si="7">SUM(G39:G42)</f>
        <v>0</v>
      </c>
      <c r="H43" s="224">
        <f t="shared" si="7"/>
        <v>0</v>
      </c>
      <c r="I43" s="224">
        <f t="shared" si="7"/>
        <v>0</v>
      </c>
      <c r="J43" s="224">
        <f t="shared" si="7"/>
        <v>0</v>
      </c>
      <c r="K43" s="224">
        <f t="shared" si="7"/>
        <v>0</v>
      </c>
      <c r="L43" s="224">
        <f t="shared" si="7"/>
        <v>0</v>
      </c>
      <c r="M43" s="217">
        <f>SUM(M39:M42)</f>
        <v>0</v>
      </c>
      <c r="N43" s="217">
        <f>SUM(N39:N42)</f>
        <v>0</v>
      </c>
      <c r="O43" s="222" t="str">
        <f>IF(M43=0," ",(N43-M43)/M43)</f>
        <v xml:space="preserve"> </v>
      </c>
      <c r="P43" s="223">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5/24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55"/>
  <sheetViews>
    <sheetView showGridLines="0" workbookViewId="0">
      <selection activeCell="D6" sqref="D6"/>
    </sheetView>
  </sheetViews>
  <sheetFormatPr defaultColWidth="9" defaultRowHeight="13.2"/>
  <cols>
    <col min="1" max="2" width="1.5546875" style="129" customWidth="1"/>
    <col min="3" max="3" width="42" style="129" customWidth="1"/>
    <col min="4" max="5" width="12.5546875" style="129" customWidth="1"/>
    <col min="6" max="6" width="9.5546875" style="129" customWidth="1"/>
    <col min="7" max="7" width="4.5546875" style="129" customWidth="1"/>
    <col min="8" max="8" width="27.44140625" style="129" customWidth="1"/>
    <col min="9" max="9" width="5.44140625" style="129" customWidth="1"/>
    <col min="10" max="10" width="12.5546875" style="129" customWidth="1"/>
    <col min="11" max="11" width="13.5546875" style="129" customWidth="1"/>
    <col min="12" max="12" width="12.5546875" style="129" customWidth="1"/>
    <col min="13" max="13" width="9.5546875" style="129" customWidth="1"/>
    <col min="14" max="17" width="9" style="129" customWidth="1"/>
    <col min="18" max="16384" width="9" style="129"/>
  </cols>
  <sheetData>
    <row r="1" spans="1:13" ht="23.25" customHeight="1">
      <c r="A1" s="490" t="str">
        <f>IF(OR(BudgetVersion="Proposed",BudgetVersion=""),"FY 2025 Summary of charter school proposed budget",IF(BudgetVersion="Adopted","FY 2025 Summary of charter school adopted budget","FY 2025 Summary of charter school revised budget"))</f>
        <v>FY 2025 Summary of charter school proposed budget</v>
      </c>
      <c r="B1" s="490"/>
      <c r="C1" s="490"/>
      <c r="D1" s="490"/>
      <c r="E1" s="490"/>
      <c r="F1" s="490"/>
      <c r="G1" s="490"/>
      <c r="H1" s="490"/>
      <c r="I1" s="490"/>
      <c r="J1" s="490"/>
      <c r="K1" s="40" t="s">
        <v>2</v>
      </c>
      <c r="L1" s="318" t="str">
        <f>CTD</f>
        <v>108707000</v>
      </c>
    </row>
    <row r="2" spans="1:13" ht="3.75" customHeight="1"/>
    <row r="3" spans="1:13" ht="12" customHeight="1">
      <c r="A3" s="296" t="s">
        <v>269</v>
      </c>
      <c r="B3" s="319"/>
      <c r="C3" s="319"/>
      <c r="D3" s="555" t="s">
        <v>102</v>
      </c>
      <c r="E3" s="556"/>
      <c r="F3" s="320" t="s">
        <v>108</v>
      </c>
      <c r="H3" s="546" t="str">
        <f>CONCATENATE("The budget of ",IF(Cover!$D$3=0,Cover!$D$1,(CONCATENATE(Cover!$D$1," (d.b.a. ",Cover!$D$3,")")))," for fiscal year 2025 was officially proposed by the Governing Board on ",TEXT(Cover!$F$20,"mmmm dd, yyyy"),". The complete budget may be reviewed by contacting ",Cover!$O$15," at ",Cover!$M$16," or ",Cover!$P$16,".")</f>
        <v>The budget of Nosotros Academy (d.b.a. Nosotros Academy LLC) for fiscal year 2025 was officially proposed by the Governing Board on June 12, 2024. The complete budget may be reviewed by contacting Ronald D. Kovar, Finance Director at 5207223643 or kovarjr@mindspring.com.</v>
      </c>
      <c r="I3" s="547"/>
      <c r="J3" s="547"/>
      <c r="K3" s="547"/>
      <c r="L3" s="547"/>
      <c r="M3" s="548"/>
    </row>
    <row r="4" spans="1:13" ht="12" customHeight="1">
      <c r="A4" s="321"/>
      <c r="D4" s="282" t="s">
        <v>236</v>
      </c>
      <c r="E4" s="282" t="s">
        <v>237</v>
      </c>
      <c r="F4" s="322" t="s">
        <v>115</v>
      </c>
      <c r="H4" s="549"/>
      <c r="I4" s="550"/>
      <c r="J4" s="550"/>
      <c r="K4" s="550"/>
      <c r="L4" s="550"/>
      <c r="M4" s="551"/>
    </row>
    <row r="5" spans="1:13" ht="12" customHeight="1">
      <c r="A5" s="321" t="s">
        <v>118</v>
      </c>
      <c r="D5" s="212">
        <v>2024</v>
      </c>
      <c r="E5" s="212">
        <v>2025</v>
      </c>
      <c r="F5" s="323" t="s">
        <v>117</v>
      </c>
      <c r="H5" s="549"/>
      <c r="I5" s="550"/>
      <c r="J5" s="550"/>
      <c r="K5" s="550"/>
      <c r="L5" s="550"/>
      <c r="M5" s="551"/>
    </row>
    <row r="6" spans="1:13" ht="12" customHeight="1">
      <c r="A6" s="321"/>
      <c r="B6" s="129" t="s">
        <v>119</v>
      </c>
      <c r="D6" s="324">
        <f>SP1000P100F1000CY</f>
        <v>1830500</v>
      </c>
      <c r="E6" s="324">
        <f>SP1000P100F1000</f>
        <v>1872500</v>
      </c>
      <c r="F6" s="325">
        <f>IF(D6=0," ",(E6-D6)/D6)</f>
        <v>2.3E-2</v>
      </c>
      <c r="H6" s="549"/>
      <c r="I6" s="550"/>
      <c r="J6" s="550"/>
      <c r="K6" s="550"/>
      <c r="L6" s="550"/>
      <c r="M6" s="551"/>
    </row>
    <row r="7" spans="1:13" ht="12" customHeight="1">
      <c r="A7" s="321"/>
      <c r="B7" s="129" t="s">
        <v>120</v>
      </c>
      <c r="D7" s="326"/>
      <c r="E7" s="327"/>
      <c r="F7" s="326"/>
      <c r="H7" s="552"/>
      <c r="I7" s="553"/>
      <c r="J7" s="553"/>
      <c r="K7" s="553"/>
      <c r="L7" s="553"/>
      <c r="M7" s="554"/>
    </row>
    <row r="8" spans="1:13" ht="12" customHeight="1">
      <c r="A8" s="321"/>
      <c r="C8" s="129" t="s">
        <v>270</v>
      </c>
      <c r="D8" s="324">
        <f>SP1000P100F2100CY</f>
        <v>67500</v>
      </c>
      <c r="E8" s="328">
        <f>SP1000P100F2100</f>
        <v>67500</v>
      </c>
      <c r="F8" s="222">
        <f>IF(D8=0," ",(E8-D8)/D8)</f>
        <v>0</v>
      </c>
      <c r="H8" s="329"/>
      <c r="I8" s="329"/>
      <c r="J8" s="329"/>
      <c r="K8" s="329"/>
    </row>
    <row r="9" spans="1:13" ht="12" customHeight="1">
      <c r="A9" s="321"/>
      <c r="C9" s="129" t="s">
        <v>271</v>
      </c>
      <c r="D9" s="330">
        <f>SP1000P100F2200CY</f>
        <v>0</v>
      </c>
      <c r="E9" s="330">
        <f>SP1000P100F2200</f>
        <v>0</v>
      </c>
      <c r="F9" s="220" t="str">
        <f>IF(D9=0," ",(E9-D9)/D9)</f>
        <v xml:space="preserve"> </v>
      </c>
      <c r="H9" s="327"/>
      <c r="I9" s="319"/>
      <c r="J9" s="331"/>
      <c r="K9" s="557" t="s">
        <v>102</v>
      </c>
      <c r="L9" s="558"/>
      <c r="M9" s="320" t="s">
        <v>108</v>
      </c>
    </row>
    <row r="10" spans="1:13" ht="12" customHeight="1">
      <c r="A10" s="321"/>
      <c r="C10" s="129" t="s">
        <v>272</v>
      </c>
      <c r="D10" s="330">
        <f>SP1000P100F2300CY</f>
        <v>2000</v>
      </c>
      <c r="E10" s="330">
        <f>SP1000P100F2300</f>
        <v>2000</v>
      </c>
      <c r="F10" s="325">
        <f t="shared" ref="F10:F21" si="0">IF(D10=0," ",(E10-D10)/D10)</f>
        <v>0</v>
      </c>
      <c r="H10" s="332" t="s">
        <v>273</v>
      </c>
      <c r="I10" s="333"/>
      <c r="J10" s="334"/>
      <c r="K10" s="282" t="s">
        <v>236</v>
      </c>
      <c r="L10" s="282" t="s">
        <v>237</v>
      </c>
      <c r="M10" s="322" t="s">
        <v>115</v>
      </c>
    </row>
    <row r="11" spans="1:13" ht="12" customHeight="1">
      <c r="A11" s="321"/>
      <c r="C11" s="129" t="s">
        <v>274</v>
      </c>
      <c r="D11" s="330">
        <f>SP1000P100F2400CY</f>
        <v>572500</v>
      </c>
      <c r="E11" s="330">
        <f>SP1000P100F2400</f>
        <v>572500</v>
      </c>
      <c r="F11" s="325">
        <f t="shared" si="0"/>
        <v>0</v>
      </c>
      <c r="H11" s="335"/>
      <c r="I11" s="336"/>
      <c r="J11" s="337"/>
      <c r="K11" s="212">
        <v>2024</v>
      </c>
      <c r="L11" s="212">
        <v>2025</v>
      </c>
      <c r="M11" s="323" t="s">
        <v>117</v>
      </c>
    </row>
    <row r="12" spans="1:13" ht="12" customHeight="1">
      <c r="A12" s="321"/>
      <c r="C12" s="129" t="s">
        <v>275</v>
      </c>
      <c r="D12" s="330">
        <f>SP1000P100F2500CY</f>
        <v>185300</v>
      </c>
      <c r="E12" s="330">
        <f>SP1000P100F2500</f>
        <v>185300</v>
      </c>
      <c r="F12" s="325">
        <f t="shared" si="0"/>
        <v>0</v>
      </c>
      <c r="H12" s="83" t="s">
        <v>156</v>
      </c>
      <c r="I12" s="40"/>
      <c r="J12" s="92"/>
      <c r="K12" s="324">
        <f>'Page 2'!M5</f>
        <v>70000</v>
      </c>
      <c r="L12" s="324">
        <f>'Page 2'!N5</f>
        <v>72000</v>
      </c>
      <c r="M12" s="325">
        <f t="shared" ref="M12:M19" si="1">IF(K12=0," ",(L12-K12)/K12)</f>
        <v>2.9000000000000001E-2</v>
      </c>
    </row>
    <row r="13" spans="1:13" ht="12" customHeight="1">
      <c r="A13" s="321"/>
      <c r="C13" s="129" t="s">
        <v>276</v>
      </c>
      <c r="D13" s="330">
        <f>SP1000P100F2600CY</f>
        <v>257500</v>
      </c>
      <c r="E13" s="330">
        <f>SP1000P100F2600</f>
        <v>257500</v>
      </c>
      <c r="F13" s="325">
        <f t="shared" si="0"/>
        <v>0</v>
      </c>
      <c r="H13" s="83" t="s">
        <v>158</v>
      </c>
      <c r="I13" s="40"/>
      <c r="J13" s="92"/>
      <c r="K13" s="324">
        <f>P200GiftedEducationCY</f>
        <v>0</v>
      </c>
      <c r="L13" s="330">
        <f>P200GiftedEducation</f>
        <v>0</v>
      </c>
      <c r="M13" s="325" t="str">
        <f t="shared" si="1"/>
        <v xml:space="preserve"> </v>
      </c>
    </row>
    <row r="14" spans="1:13" ht="12" customHeight="1">
      <c r="A14" s="321"/>
      <c r="C14" s="129" t="s">
        <v>277</v>
      </c>
      <c r="D14" s="330">
        <f>SP1000P100F2900CY</f>
        <v>0</v>
      </c>
      <c r="E14" s="330">
        <f>SP1000P100F2900</f>
        <v>0</v>
      </c>
      <c r="F14" s="325" t="str">
        <f t="shared" si="0"/>
        <v xml:space="preserve"> </v>
      </c>
      <c r="H14" s="83" t="s">
        <v>160</v>
      </c>
      <c r="I14" s="40"/>
      <c r="J14" s="92"/>
      <c r="K14" s="324">
        <f>P200ELLIncrementalCostsCY</f>
        <v>0</v>
      </c>
      <c r="L14" s="330">
        <f>P200ELLIncrementalCosts</f>
        <v>0</v>
      </c>
      <c r="M14" s="325" t="str">
        <f t="shared" si="1"/>
        <v xml:space="preserve"> </v>
      </c>
    </row>
    <row r="15" spans="1:13" ht="12" customHeight="1">
      <c r="A15" s="321"/>
      <c r="B15" s="129" t="s">
        <v>128</v>
      </c>
      <c r="D15" s="330">
        <f>SP1000P100F3000CY</f>
        <v>30000</v>
      </c>
      <c r="E15" s="330">
        <f>SP1000P100F3000</f>
        <v>30000</v>
      </c>
      <c r="F15" s="325">
        <f t="shared" si="0"/>
        <v>0</v>
      </c>
      <c r="H15" s="83" t="s">
        <v>162</v>
      </c>
      <c r="I15" s="40"/>
      <c r="J15" s="92"/>
      <c r="K15" s="330">
        <f>P200ELLCompensatoryInstructionCY</f>
        <v>0</v>
      </c>
      <c r="L15" s="330">
        <f>P200ELLCompensatoryInstruction</f>
        <v>0</v>
      </c>
      <c r="M15" s="325" t="str">
        <f t="shared" si="1"/>
        <v xml:space="preserve"> </v>
      </c>
    </row>
    <row r="16" spans="1:13" ht="12" customHeight="1">
      <c r="A16" s="321"/>
      <c r="B16" s="129" t="s">
        <v>129</v>
      </c>
      <c r="D16" s="330">
        <f>SP1000P100F4000CY</f>
        <v>0</v>
      </c>
      <c r="E16" s="330">
        <f>SP1000P100F4000</f>
        <v>0</v>
      </c>
      <c r="F16" s="325" t="str">
        <f t="shared" si="0"/>
        <v xml:space="preserve"> </v>
      </c>
      <c r="H16" s="83" t="s">
        <v>164</v>
      </c>
      <c r="I16" s="40"/>
      <c r="J16" s="92"/>
      <c r="K16" s="330">
        <f>P200RemedialEducationCY</f>
        <v>0</v>
      </c>
      <c r="L16" s="330">
        <f>P200RemedialEducation</f>
        <v>0</v>
      </c>
      <c r="M16" s="325" t="str">
        <f t="shared" si="1"/>
        <v xml:space="preserve"> </v>
      </c>
    </row>
    <row r="17" spans="1:13" ht="12" customHeight="1">
      <c r="A17" s="321"/>
      <c r="B17" s="129" t="s">
        <v>130</v>
      </c>
      <c r="D17" s="330">
        <f>SP1000P100F5000CY</f>
        <v>0</v>
      </c>
      <c r="E17" s="330">
        <f>SP1000P100F5000</f>
        <v>0</v>
      </c>
      <c r="F17" s="325" t="str">
        <f t="shared" si="0"/>
        <v xml:space="preserve"> </v>
      </c>
      <c r="H17" s="83" t="s">
        <v>166</v>
      </c>
      <c r="I17" s="40"/>
      <c r="J17" s="92"/>
      <c r="K17" s="330">
        <f>P200VocationalandTechnologicalEdCY</f>
        <v>0</v>
      </c>
      <c r="L17" s="330">
        <f>P200VocationalandTechnologicalEd</f>
        <v>0</v>
      </c>
      <c r="M17" s="325" t="str">
        <f t="shared" si="1"/>
        <v xml:space="preserve"> </v>
      </c>
    </row>
    <row r="18" spans="1:13" ht="12" customHeight="1">
      <c r="A18" s="321" t="s">
        <v>131</v>
      </c>
      <c r="D18" s="330">
        <f>SP1000P610CY</f>
        <v>0</v>
      </c>
      <c r="E18" s="330">
        <f>SP1000P610</f>
        <v>0</v>
      </c>
      <c r="F18" s="325" t="str">
        <f t="shared" si="0"/>
        <v xml:space="preserve"> </v>
      </c>
      <c r="H18" s="83" t="s">
        <v>168</v>
      </c>
      <c r="I18" s="40"/>
      <c r="J18" s="92"/>
      <c r="K18" s="338">
        <f>P200CareerEducationCY</f>
        <v>0</v>
      </c>
      <c r="L18" s="338">
        <f>P200CareerEducation</f>
        <v>0</v>
      </c>
      <c r="M18" s="325" t="str">
        <f t="shared" si="1"/>
        <v xml:space="preserve"> </v>
      </c>
    </row>
    <row r="19" spans="1:13" ht="12" customHeight="1">
      <c r="A19" s="321" t="s">
        <v>132</v>
      </c>
      <c r="D19" s="330">
        <f>SP1000P620CY</f>
        <v>0</v>
      </c>
      <c r="E19" s="330">
        <f>SP1000P620</f>
        <v>0</v>
      </c>
      <c r="F19" s="325" t="str">
        <f t="shared" si="0"/>
        <v xml:space="preserve"> </v>
      </c>
      <c r="H19" s="559" t="s">
        <v>278</v>
      </c>
      <c r="I19" s="531"/>
      <c r="J19" s="531"/>
      <c r="K19" s="330">
        <f>SUM(K12:K18)</f>
        <v>70000</v>
      </c>
      <c r="L19" s="330">
        <f>SUM(L12:L18)</f>
        <v>72000</v>
      </c>
      <c r="M19" s="229">
        <f t="shared" si="1"/>
        <v>2.9000000000000001E-2</v>
      </c>
    </row>
    <row r="20" spans="1:13" ht="12" customHeight="1">
      <c r="A20" s="321" t="s">
        <v>133</v>
      </c>
      <c r="D20" s="330">
        <f>SP1000P630700800900CY</f>
        <v>0</v>
      </c>
      <c r="E20" s="330">
        <f>SP1000P630700800900</f>
        <v>0</v>
      </c>
      <c r="F20" s="325" t="str">
        <f t="shared" si="0"/>
        <v xml:space="preserve"> </v>
      </c>
      <c r="H20" s="339"/>
      <c r="I20" s="339"/>
      <c r="K20" s="340"/>
      <c r="L20" s="340"/>
      <c r="M20" s="231"/>
    </row>
    <row r="21" spans="1:13" ht="12" customHeight="1">
      <c r="A21" s="341"/>
      <c r="B21" s="342" t="s">
        <v>279</v>
      </c>
      <c r="C21" s="337"/>
      <c r="D21" s="330">
        <f>SUM(D6:D20)</f>
        <v>2945300</v>
      </c>
      <c r="E21" s="330">
        <f>SUM(E6:E20)</f>
        <v>2987300</v>
      </c>
      <c r="F21" s="325">
        <f t="shared" si="0"/>
        <v>1.4E-2</v>
      </c>
      <c r="H21" s="542" t="s">
        <v>280</v>
      </c>
      <c r="I21" s="543"/>
      <c r="J21" s="543"/>
      <c r="K21" s="543"/>
      <c r="L21" s="544"/>
      <c r="M21" s="231"/>
    </row>
    <row r="22" spans="1:13" ht="12" customHeight="1">
      <c r="A22" s="321" t="s">
        <v>135</v>
      </c>
      <c r="D22" s="326"/>
      <c r="E22" s="327"/>
      <c r="F22" s="326"/>
      <c r="H22" s="321"/>
      <c r="J22" s="561" t="s">
        <v>102</v>
      </c>
      <c r="K22" s="562"/>
      <c r="L22" s="322" t="s">
        <v>108</v>
      </c>
      <c r="M22" s="231"/>
    </row>
    <row r="23" spans="1:13" ht="12" customHeight="1">
      <c r="A23" s="321"/>
      <c r="B23" s="129" t="s">
        <v>119</v>
      </c>
      <c r="D23" s="343">
        <f>SP1000P200F1000CY</f>
        <v>70000</v>
      </c>
      <c r="E23" s="344">
        <f>SP1000P200F1000</f>
        <v>72000</v>
      </c>
      <c r="F23" s="222">
        <f>IF(D23=0," ",(E23-D23)/D23)</f>
        <v>2.9000000000000001E-2</v>
      </c>
      <c r="H23" s="321"/>
      <c r="J23" s="282" t="s">
        <v>236</v>
      </c>
      <c r="K23" s="282" t="s">
        <v>237</v>
      </c>
      <c r="L23" s="322" t="s">
        <v>115</v>
      </c>
      <c r="M23" s="231"/>
    </row>
    <row r="24" spans="1:13" ht="12" customHeight="1">
      <c r="A24" s="321"/>
      <c r="B24" s="129" t="s">
        <v>120</v>
      </c>
      <c r="D24" s="326"/>
      <c r="E24" s="326"/>
      <c r="F24" s="220"/>
      <c r="H24" s="345"/>
      <c r="J24" s="212">
        <v>2024</v>
      </c>
      <c r="K24" s="212">
        <v>2025</v>
      </c>
      <c r="L24" s="323" t="s">
        <v>117</v>
      </c>
      <c r="M24" s="231"/>
    </row>
    <row r="25" spans="1:13" ht="12" customHeight="1">
      <c r="A25" s="321"/>
      <c r="C25" s="129" t="s">
        <v>270</v>
      </c>
      <c r="D25" s="324">
        <f>SP1000P200F2100CY</f>
        <v>0</v>
      </c>
      <c r="E25" s="324">
        <f>SP1000P200F2100</f>
        <v>0</v>
      </c>
      <c r="F25" s="222" t="str">
        <f t="shared" ref="F25:F41" si="2">IF(D25=0," ",(E25-D25)/D25)</f>
        <v xml:space="preserve"> </v>
      </c>
      <c r="H25" s="346" t="s">
        <v>281</v>
      </c>
      <c r="I25" s="347"/>
      <c r="J25" s="324">
        <f>SP1000TotalCY</f>
        <v>3021300</v>
      </c>
      <c r="K25" s="324">
        <f>SP1000Total</f>
        <v>3065300</v>
      </c>
      <c r="L25" s="229">
        <f>IF(J25=0," ",(K25-J25)/J25)</f>
        <v>1.4999999999999999E-2</v>
      </c>
      <c r="M25" s="231"/>
    </row>
    <row r="26" spans="1:13" ht="12" customHeight="1">
      <c r="A26" s="321"/>
      <c r="C26" s="129" t="s">
        <v>271</v>
      </c>
      <c r="D26" s="324">
        <f>SP1000P200F2200CY</f>
        <v>0</v>
      </c>
      <c r="E26" s="324">
        <f>SP1000P200F2200</f>
        <v>0</v>
      </c>
      <c r="F26" s="220" t="str">
        <f t="shared" si="2"/>
        <v xml:space="preserve"> </v>
      </c>
      <c r="H26" s="76" t="s">
        <v>282</v>
      </c>
      <c r="I26" s="347"/>
      <c r="J26" s="330">
        <f>SP1000ClassSiteProjCY</f>
        <v>407000</v>
      </c>
      <c r="K26" s="330">
        <f>SP1000ClassSiteProj</f>
        <v>407000</v>
      </c>
      <c r="L26" s="229">
        <f t="shared" ref="L26:L33" si="3">IF(J26=0," ",(K26-J26)/J26)</f>
        <v>0</v>
      </c>
      <c r="M26" s="231"/>
    </row>
    <row r="27" spans="1:13" ht="12" customHeight="1">
      <c r="A27" s="321"/>
      <c r="C27" s="129" t="s">
        <v>272</v>
      </c>
      <c r="D27" s="324">
        <f>SP1000P200F2300CY</f>
        <v>0</v>
      </c>
      <c r="E27" s="324">
        <f>SP1000P200F2300</f>
        <v>0</v>
      </c>
      <c r="F27" s="325" t="str">
        <f t="shared" si="2"/>
        <v xml:space="preserve"> </v>
      </c>
      <c r="H27" s="76" t="s">
        <v>283</v>
      </c>
      <c r="I27" s="347"/>
      <c r="J27" s="330">
        <f>SP1000InstrImpProjCY</f>
        <v>18000</v>
      </c>
      <c r="K27" s="330">
        <f>SP1000InstrImpProj</f>
        <v>18000</v>
      </c>
      <c r="L27" s="229">
        <f t="shared" si="3"/>
        <v>0</v>
      </c>
      <c r="M27" s="231"/>
    </row>
    <row r="28" spans="1:13" ht="12" customHeight="1">
      <c r="A28" s="321"/>
      <c r="C28" s="129" t="s">
        <v>274</v>
      </c>
      <c r="D28" s="324">
        <f>SP1000P200F2400CY</f>
        <v>0</v>
      </c>
      <c r="E28" s="324">
        <f>SP1000P200F2400</f>
        <v>0</v>
      </c>
      <c r="F28" s="325" t="str">
        <f t="shared" si="2"/>
        <v xml:space="preserve"> </v>
      </c>
      <c r="H28" s="76" t="s">
        <v>284</v>
      </c>
      <c r="I28" s="347"/>
      <c r="J28" s="330">
        <f>SP1000StruEngImmProjCY</f>
        <v>0</v>
      </c>
      <c r="K28" s="330">
        <f>SP1000StruEngImmProj</f>
        <v>0</v>
      </c>
      <c r="L28" s="229" t="str">
        <f t="shared" si="3"/>
        <v xml:space="preserve"> </v>
      </c>
      <c r="M28" s="231"/>
    </row>
    <row r="29" spans="1:13" ht="12" customHeight="1">
      <c r="A29" s="321"/>
      <c r="C29" s="129" t="s">
        <v>275</v>
      </c>
      <c r="D29" s="324">
        <f>SP1000P200F2500CY</f>
        <v>0</v>
      </c>
      <c r="E29" s="324">
        <f>SP1000P200F2500</f>
        <v>0</v>
      </c>
      <c r="F29" s="325" t="str">
        <f t="shared" si="2"/>
        <v xml:space="preserve"> </v>
      </c>
      <c r="H29" s="76" t="s">
        <v>285</v>
      </c>
      <c r="I29" s="347"/>
      <c r="J29" s="330">
        <f>SP1000CompInstrProjCY</f>
        <v>0</v>
      </c>
      <c r="K29" s="330">
        <f>SP1000CompInstrProj</f>
        <v>0</v>
      </c>
      <c r="L29" s="229" t="str">
        <f t="shared" si="3"/>
        <v xml:space="preserve"> </v>
      </c>
      <c r="M29" s="231"/>
    </row>
    <row r="30" spans="1:13" ht="12" customHeight="1">
      <c r="A30" s="321"/>
      <c r="C30" s="129" t="s">
        <v>276</v>
      </c>
      <c r="D30" s="324">
        <f>SP1000P200F2600CY</f>
        <v>0</v>
      </c>
      <c r="E30" s="324">
        <f>SP1000P200F2600</f>
        <v>0</v>
      </c>
      <c r="F30" s="325" t="str">
        <f t="shared" si="2"/>
        <v xml:space="preserve"> </v>
      </c>
      <c r="H30" s="76" t="s">
        <v>286</v>
      </c>
      <c r="I30" s="347"/>
      <c r="J30" s="330">
        <f>TotalFederalProjectsCY</f>
        <v>700000</v>
      </c>
      <c r="K30" s="330">
        <f>TotalFederalProjects</f>
        <v>700000</v>
      </c>
      <c r="L30" s="229">
        <f t="shared" si="3"/>
        <v>0</v>
      </c>
      <c r="M30" s="231"/>
    </row>
    <row r="31" spans="1:13" ht="12" customHeight="1">
      <c r="A31" s="321"/>
      <c r="C31" s="129" t="s">
        <v>277</v>
      </c>
      <c r="D31" s="324">
        <f>SP1000P200F2900CY</f>
        <v>0</v>
      </c>
      <c r="E31" s="324">
        <f>SP1000P200F2900</f>
        <v>0</v>
      </c>
      <c r="F31" s="325" t="str">
        <f t="shared" si="2"/>
        <v xml:space="preserve"> </v>
      </c>
      <c r="H31" s="76" t="s">
        <v>287</v>
      </c>
      <c r="I31" s="347"/>
      <c r="J31" s="330">
        <f>TotalStateProjectsCY</f>
        <v>0</v>
      </c>
      <c r="K31" s="330">
        <f>TotalStateProjects</f>
        <v>0</v>
      </c>
      <c r="L31" s="229" t="str">
        <f t="shared" si="3"/>
        <v xml:space="preserve"> </v>
      </c>
      <c r="M31" s="231"/>
    </row>
    <row r="32" spans="1:13" ht="12" customHeight="1">
      <c r="A32" s="321"/>
      <c r="B32" s="129" t="s">
        <v>128</v>
      </c>
      <c r="D32" s="324">
        <f>SP1000P200F3000CY</f>
        <v>0</v>
      </c>
      <c r="E32" s="324">
        <f>SP1000P200F3000</f>
        <v>0</v>
      </c>
      <c r="F32" s="325" t="str">
        <f t="shared" si="2"/>
        <v xml:space="preserve"> </v>
      </c>
      <c r="H32" s="76" t="s">
        <v>223</v>
      </c>
      <c r="I32" s="347"/>
      <c r="J32" s="330">
        <f>TotalCapitalAcquisitionsCY</f>
        <v>400000</v>
      </c>
      <c r="K32" s="330">
        <f>TotalCapitalAcquisitions</f>
        <v>500000</v>
      </c>
      <c r="L32" s="229">
        <f t="shared" si="3"/>
        <v>0.25</v>
      </c>
      <c r="M32" s="231"/>
    </row>
    <row r="33" spans="1:14" ht="12" customHeight="1">
      <c r="A33" s="321"/>
      <c r="B33" s="129" t="s">
        <v>129</v>
      </c>
      <c r="D33" s="324">
        <f>SP1000P200F4000CY</f>
        <v>0</v>
      </c>
      <c r="E33" s="324">
        <f>SP1000P200F4000</f>
        <v>0</v>
      </c>
      <c r="F33" s="325" t="str">
        <f t="shared" si="2"/>
        <v xml:space="preserve"> </v>
      </c>
      <c r="H33" s="76" t="s">
        <v>288</v>
      </c>
      <c r="I33" s="347"/>
      <c r="J33" s="330">
        <f>SUM(J25:J32)</f>
        <v>4546300</v>
      </c>
      <c r="K33" s="330">
        <f>SUM(K25:K32)</f>
        <v>4690300</v>
      </c>
      <c r="L33" s="229">
        <f t="shared" si="3"/>
        <v>3.2000000000000001E-2</v>
      </c>
    </row>
    <row r="34" spans="1:14" ht="12" customHeight="1">
      <c r="A34" s="321"/>
      <c r="B34" s="129" t="s">
        <v>130</v>
      </c>
      <c r="D34" s="324">
        <f>SP1000P200F5000CY</f>
        <v>0</v>
      </c>
      <c r="E34" s="324">
        <f>SP1000P200F5000</f>
        <v>0</v>
      </c>
      <c r="F34" s="325" t="str">
        <f t="shared" si="2"/>
        <v xml:space="preserve"> </v>
      </c>
    </row>
    <row r="35" spans="1:14" ht="12" customHeight="1">
      <c r="A35" s="321"/>
      <c r="B35" s="129" t="s">
        <v>289</v>
      </c>
      <c r="C35" s="334"/>
      <c r="D35" s="338">
        <f>SUM(D23:D34)</f>
        <v>70000</v>
      </c>
      <c r="E35" s="338">
        <f>SUM(E23:E34)</f>
        <v>72000</v>
      </c>
      <c r="F35" s="325">
        <f t="shared" si="2"/>
        <v>2.9000000000000001E-2</v>
      </c>
      <c r="H35" s="545" t="s">
        <v>290</v>
      </c>
      <c r="I35" s="545"/>
      <c r="J35" s="545"/>
      <c r="K35" s="545"/>
      <c r="L35" s="545"/>
      <c r="M35" s="563" t="str">
        <f>IF(L37&lt;1,"Enter average salary on the budget Cover","")</f>
        <v/>
      </c>
      <c r="N35" s="348"/>
    </row>
    <row r="36" spans="1:14" ht="0.75" customHeight="1">
      <c r="A36" s="341" t="s">
        <v>291</v>
      </c>
      <c r="B36" s="342"/>
      <c r="C36" s="337"/>
      <c r="D36" s="324"/>
      <c r="E36" s="324"/>
      <c r="F36" s="222"/>
      <c r="J36" s="349"/>
      <c r="K36" s="349"/>
      <c r="L36" s="349"/>
      <c r="M36" s="563"/>
      <c r="N36" s="348"/>
    </row>
    <row r="37" spans="1:14" ht="12" customHeight="1">
      <c r="A37" s="346" t="s">
        <v>138</v>
      </c>
      <c r="B37" s="347"/>
      <c r="C37" s="350"/>
      <c r="D37" s="330">
        <f>SP1000P400CY</f>
        <v>6000</v>
      </c>
      <c r="E37" s="330">
        <f>SP1000P400</f>
        <v>6000</v>
      </c>
      <c r="F37" s="229">
        <f t="shared" si="2"/>
        <v>0</v>
      </c>
      <c r="H37" s="560" t="s">
        <v>292</v>
      </c>
      <c r="I37" s="560"/>
      <c r="J37" s="560"/>
      <c r="K37" s="560"/>
      <c r="L37" s="224">
        <f>BudgetYearSalary</f>
        <v>55000</v>
      </c>
      <c r="M37" s="563"/>
      <c r="N37" s="348"/>
    </row>
    <row r="38" spans="1:14" ht="12" customHeight="1">
      <c r="A38" s="346" t="s">
        <v>139</v>
      </c>
      <c r="B38" s="347"/>
      <c r="C38" s="350"/>
      <c r="D38" s="330">
        <f>SP1000P530CY</f>
        <v>0</v>
      </c>
      <c r="E38" s="330">
        <f>SP1000P530</f>
        <v>0</v>
      </c>
      <c r="F38" s="229" t="str">
        <f t="shared" si="2"/>
        <v xml:space="preserve"> </v>
      </c>
      <c r="H38" s="560" t="s">
        <v>293</v>
      </c>
      <c r="I38" s="560"/>
      <c r="J38" s="560"/>
      <c r="K38" s="560"/>
      <c r="L38" s="224">
        <f>PriorYearSalary</f>
        <v>53000</v>
      </c>
      <c r="M38" s="563"/>
      <c r="N38" s="348"/>
    </row>
    <row r="39" spans="1:14" ht="12" customHeight="1">
      <c r="A39" s="346" t="s">
        <v>294</v>
      </c>
      <c r="B39" s="347"/>
      <c r="C39" s="350"/>
      <c r="D39" s="330">
        <f>SP1000P540CY</f>
        <v>0</v>
      </c>
      <c r="E39" s="330">
        <f>SP1000P540</f>
        <v>0</v>
      </c>
      <c r="F39" s="229" t="str">
        <f t="shared" si="2"/>
        <v xml:space="preserve"> </v>
      </c>
      <c r="H39" s="560" t="s">
        <v>295</v>
      </c>
      <c r="I39" s="560"/>
      <c r="J39" s="560"/>
      <c r="K39" s="560"/>
      <c r="L39" s="224">
        <f>SalaryIncreaseFromPriorYear</f>
        <v>2000</v>
      </c>
      <c r="M39" s="563"/>
      <c r="N39" s="348"/>
    </row>
    <row r="40" spans="1:14" ht="12" customHeight="1">
      <c r="A40" s="341" t="s">
        <v>141</v>
      </c>
      <c r="B40" s="342"/>
      <c r="C40" s="337"/>
      <c r="D40" s="330">
        <f>SP1000P550CY</f>
        <v>0</v>
      </c>
      <c r="E40" s="330">
        <f>SP1000P550</f>
        <v>0</v>
      </c>
      <c r="F40" s="229" t="str">
        <f t="shared" si="2"/>
        <v xml:space="preserve"> </v>
      </c>
      <c r="H40" s="560" t="s">
        <v>296</v>
      </c>
      <c r="I40" s="560"/>
      <c r="J40" s="560"/>
      <c r="K40" s="560"/>
      <c r="L40" s="314">
        <f>SalaryPercentageIncrease</f>
        <v>3.7999999999999999E-2</v>
      </c>
      <c r="M40" s="563"/>
      <c r="N40" s="348"/>
    </row>
    <row r="41" spans="1:14" ht="12" customHeight="1">
      <c r="A41" s="341"/>
      <c r="B41" s="342"/>
      <c r="C41" s="337" t="s">
        <v>278</v>
      </c>
      <c r="D41" s="324">
        <f>SUM(D35:D40)+D21</f>
        <v>3021300</v>
      </c>
      <c r="E41" s="324">
        <f>SUM(E35:E40)+E21</f>
        <v>3065300</v>
      </c>
      <c r="F41" s="229">
        <f t="shared" si="2"/>
        <v>1.4999999999999999E-2</v>
      </c>
      <c r="H41" s="564" t="str">
        <f>IF(AverageSalaryCalculationComment&lt;&gt;"",AverageSalaryCalculationComment,"")</f>
        <v>Comments on average salary calculation (optional):</v>
      </c>
      <c r="I41" s="565"/>
      <c r="J41" s="565"/>
      <c r="K41" s="565"/>
      <c r="L41" s="566"/>
      <c r="M41" s="563"/>
    </row>
    <row r="42" spans="1:14" ht="12" customHeight="1">
      <c r="D42" s="340"/>
      <c r="E42" s="340"/>
      <c r="F42" s="231"/>
      <c r="H42" s="567"/>
      <c r="I42" s="568"/>
      <c r="J42" s="568"/>
      <c r="K42" s="568"/>
      <c r="L42" s="569"/>
      <c r="M42" s="563"/>
    </row>
    <row r="43" spans="1:14" ht="12" customHeight="1">
      <c r="H43" s="567"/>
      <c r="I43" s="568"/>
      <c r="J43" s="568"/>
      <c r="K43" s="568"/>
      <c r="L43" s="569"/>
      <c r="M43" s="563"/>
    </row>
    <row r="44" spans="1:14" ht="12" customHeight="1">
      <c r="H44" s="567"/>
      <c r="I44" s="568"/>
      <c r="J44" s="568"/>
      <c r="K44" s="568"/>
      <c r="L44" s="569"/>
      <c r="M44" s="563"/>
    </row>
    <row r="45" spans="1:14" ht="12" customHeight="1">
      <c r="H45" s="567"/>
      <c r="I45" s="568"/>
      <c r="J45" s="568"/>
      <c r="K45" s="568"/>
      <c r="L45" s="569"/>
      <c r="M45" s="563"/>
    </row>
    <row r="46" spans="1:14" ht="12" customHeight="1">
      <c r="H46" s="567"/>
      <c r="I46" s="568"/>
      <c r="J46" s="568"/>
      <c r="K46" s="568"/>
      <c r="L46" s="569"/>
      <c r="M46" s="351"/>
    </row>
    <row r="47" spans="1:14" ht="12" customHeight="1">
      <c r="H47" s="570"/>
      <c r="I47" s="571"/>
      <c r="J47" s="571"/>
      <c r="K47" s="571"/>
      <c r="L47" s="572"/>
      <c r="M47" s="351"/>
    </row>
    <row r="48" spans="1:14" ht="12.75" customHeight="1"/>
    <row r="49" spans="8:8" ht="12.75" customHeight="1"/>
    <row r="50" spans="8:8" ht="12.75" customHeight="1"/>
    <row r="51" spans="8:8" ht="12.75" customHeight="1"/>
    <row r="52" spans="8:8" ht="12.75" customHeight="1"/>
    <row r="53" spans="8:8" ht="12.75" customHeight="1">
      <c r="H53" s="352"/>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scale="76" orientation="landscape" r:id="rId1"/>
  <headerFooter>
    <oddFooter>&amp;L&amp;"Arial,Bold"Rev.5/24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BO35"/>
  <sheetViews>
    <sheetView showGridLines="0" topLeftCell="C1" workbookViewId="0">
      <selection activeCell="A36" sqref="A36"/>
    </sheetView>
  </sheetViews>
  <sheetFormatPr defaultColWidth="8" defaultRowHeight="13.2"/>
  <cols>
    <col min="1" max="1" width="13.6640625" customWidth="1"/>
    <col min="2" max="2" width="107.33203125" customWidth="1"/>
    <col min="3" max="5" width="15.5546875" customWidth="1"/>
    <col min="6" max="6" width="19.109375" customWidth="1"/>
    <col min="7" max="7" width="15.5546875" customWidth="1"/>
    <col min="8" max="8" width="17.5546875" customWidth="1"/>
    <col min="9" max="9" width="10.109375" customWidth="1"/>
  </cols>
  <sheetData>
    <row r="1" spans="1:67" s="448" customFormat="1">
      <c r="A1" t="s">
        <v>0</v>
      </c>
      <c r="B1" s="354" t="str">
        <f>CharterName</f>
        <v>Nosotros Academy</v>
      </c>
      <c r="D1" s="429" t="s">
        <v>1</v>
      </c>
      <c r="E1" s="430" t="str">
        <f>Cover!M1</f>
        <v>Pima</v>
      </c>
      <c r="G1" s="429" t="s">
        <v>2</v>
      </c>
      <c r="H1" s="418" t="str">
        <f>CTD</f>
        <v>108707000</v>
      </c>
      <c r="J1"/>
      <c r="M1" s="40"/>
      <c r="N1" s="409"/>
      <c r="R1" s="449"/>
      <c r="S1" s="449"/>
      <c r="T1" s="449"/>
      <c r="U1" s="449"/>
      <c r="V1" s="450"/>
      <c r="W1" s="450"/>
      <c r="X1" s="450"/>
      <c r="Y1" s="450"/>
      <c r="Z1" s="450"/>
      <c r="AA1" s="450"/>
      <c r="AB1" s="450"/>
      <c r="AC1" s="450"/>
      <c r="AD1" s="451"/>
      <c r="AE1" s="451"/>
      <c r="AF1" s="451"/>
      <c r="AG1" s="451"/>
      <c r="AH1" s="451"/>
      <c r="AI1" s="451"/>
      <c r="AJ1" s="449"/>
      <c r="AK1" s="449"/>
      <c r="AL1" s="449"/>
      <c r="AM1" s="449"/>
      <c r="AN1" s="449"/>
      <c r="AO1" s="449"/>
      <c r="AP1" s="449"/>
      <c r="AQ1" s="449"/>
      <c r="AR1" s="449"/>
      <c r="AS1" s="449"/>
      <c r="AT1" s="449"/>
      <c r="AU1" s="449"/>
      <c r="AV1" s="449"/>
    </row>
    <row r="2" spans="1:67" s="448" customFormat="1">
      <c r="B2" s="452"/>
      <c r="C2" s="453"/>
      <c r="D2" s="453"/>
      <c r="E2" s="453"/>
      <c r="G2" s="452"/>
      <c r="H2" s="453"/>
      <c r="I2" s="453"/>
      <c r="J2" s="454"/>
      <c r="K2" s="452"/>
      <c r="L2" s="431"/>
      <c r="M2" s="453"/>
      <c r="N2" s="453"/>
      <c r="O2" s="455"/>
      <c r="P2" s="456"/>
      <c r="R2" s="449"/>
      <c r="S2" s="449"/>
      <c r="T2" s="449"/>
      <c r="U2" s="449"/>
      <c r="V2" s="450"/>
      <c r="W2" s="450"/>
      <c r="X2" s="450"/>
      <c r="Y2" s="450"/>
      <c r="Z2" s="450"/>
      <c r="AA2" s="450"/>
      <c r="AB2" s="450"/>
      <c r="AC2" s="450"/>
      <c r="AD2" s="451"/>
      <c r="AE2" s="451"/>
      <c r="AF2" s="451"/>
      <c r="AG2" s="451"/>
      <c r="AH2" s="451"/>
      <c r="AI2" s="451"/>
      <c r="AJ2" s="449"/>
      <c r="AK2" s="449"/>
      <c r="AL2" s="449"/>
      <c r="AM2" s="449"/>
      <c r="AN2" s="449"/>
      <c r="AO2" s="449"/>
      <c r="AP2" s="449"/>
      <c r="AQ2" s="449"/>
      <c r="AR2" s="449"/>
      <c r="AS2" s="449"/>
      <c r="AT2" s="449"/>
      <c r="AU2" s="449"/>
      <c r="AV2" s="449"/>
    </row>
    <row r="3" spans="1:67" s="457" customFormat="1" ht="25.5" customHeight="1">
      <c r="A3" s="573" t="s">
        <v>297</v>
      </c>
      <c r="B3" s="573"/>
      <c r="C3" s="573"/>
      <c r="D3" s="573"/>
      <c r="E3" s="573"/>
      <c r="F3" s="573"/>
      <c r="G3" s="573"/>
      <c r="H3" s="573"/>
      <c r="J3" s="458"/>
      <c r="K3" s="459"/>
      <c r="L3" s="432"/>
      <c r="Q3" s="460"/>
      <c r="R3" s="461"/>
      <c r="S3" s="461"/>
      <c r="T3" s="461"/>
      <c r="U3" s="461"/>
      <c r="V3" s="461"/>
      <c r="W3" s="461"/>
      <c r="X3" s="461"/>
      <c r="Y3" s="461"/>
      <c r="Z3" s="461"/>
      <c r="AA3" s="461"/>
      <c r="AB3" s="461"/>
      <c r="AC3" s="461"/>
      <c r="AD3" s="461"/>
      <c r="AE3" s="461"/>
      <c r="AF3" s="461"/>
      <c r="AG3" s="462"/>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row>
    <row r="4" spans="1:67" s="457" customFormat="1" ht="16.5" customHeight="1">
      <c r="A4" s="463"/>
      <c r="B4" s="463"/>
      <c r="C4" s="463"/>
      <c r="D4" s="463"/>
      <c r="E4" s="463"/>
      <c r="F4" s="463"/>
      <c r="G4" s="463"/>
      <c r="H4" s="463"/>
      <c r="J4" s="458"/>
      <c r="K4" s="459"/>
      <c r="L4" s="432"/>
      <c r="Q4" s="460"/>
      <c r="R4" s="461"/>
      <c r="S4" s="461"/>
      <c r="T4" s="461"/>
      <c r="U4" s="461"/>
      <c r="V4" s="461"/>
      <c r="W4" s="461"/>
      <c r="X4" s="461"/>
      <c r="Y4" s="461"/>
      <c r="Z4" s="461"/>
      <c r="AA4" s="461"/>
      <c r="AB4" s="461"/>
      <c r="AC4" s="461"/>
      <c r="AD4" s="461"/>
      <c r="AE4" s="461"/>
      <c r="AF4" s="461"/>
      <c r="AG4" s="462"/>
      <c r="AH4" s="461"/>
      <c r="AI4" s="461"/>
      <c r="AJ4" s="461"/>
      <c r="AK4" s="461"/>
      <c r="AL4" s="461"/>
      <c r="AM4" s="461"/>
      <c r="AN4" s="461"/>
      <c r="AO4" s="461"/>
      <c r="AP4" s="461"/>
      <c r="AQ4" s="461"/>
      <c r="AR4" s="461"/>
      <c r="AS4" s="461"/>
      <c r="AT4" s="461"/>
      <c r="AU4" s="461"/>
      <c r="AV4" s="461"/>
      <c r="AW4" s="461"/>
      <c r="AX4" s="461"/>
      <c r="AY4" s="461"/>
      <c r="AZ4" s="461"/>
      <c r="BA4" s="461"/>
      <c r="BB4" s="461"/>
      <c r="BC4" s="461"/>
      <c r="BD4" s="461"/>
      <c r="BE4" s="461"/>
      <c r="BF4" s="461"/>
      <c r="BG4" s="461"/>
      <c r="BH4" s="461"/>
      <c r="BI4" s="461"/>
      <c r="BJ4" s="461"/>
      <c r="BK4" s="461"/>
      <c r="BL4" s="461"/>
      <c r="BM4" s="461"/>
      <c r="BN4" s="461"/>
      <c r="BO4" s="461"/>
    </row>
    <row r="5" spans="1:67">
      <c r="A5" s="574" t="s">
        <v>298</v>
      </c>
      <c r="B5" s="574"/>
      <c r="C5" s="353"/>
    </row>
    <row r="6" spans="1:67">
      <c r="A6" s="353"/>
      <c r="B6" s="353"/>
      <c r="C6" s="464" t="s">
        <v>540</v>
      </c>
      <c r="R6" s="151" t="s">
        <v>299</v>
      </c>
    </row>
    <row r="7" spans="1:67" ht="8.25" customHeight="1">
      <c r="A7" s="437"/>
      <c r="B7" s="353"/>
      <c r="C7" s="443"/>
    </row>
    <row r="8" spans="1:67">
      <c r="A8" s="438" t="s">
        <v>6</v>
      </c>
      <c r="B8" s="465" t="s">
        <v>300</v>
      </c>
      <c r="C8" s="439">
        <v>2374164</v>
      </c>
    </row>
    <row r="9" spans="1:67" ht="15" customHeight="1">
      <c r="A9" s="440"/>
      <c r="B9" s="436" t="s">
        <v>301</v>
      </c>
      <c r="C9" s="441"/>
    </row>
    <row r="10" spans="1:67">
      <c r="A10" s="442"/>
      <c r="B10" s="353"/>
      <c r="C10" s="443"/>
    </row>
    <row r="11" spans="1:67">
      <c r="A11" s="438" t="s">
        <v>10</v>
      </c>
      <c r="B11" s="437" t="s">
        <v>302</v>
      </c>
      <c r="C11" s="353"/>
    </row>
    <row r="12" spans="1:67">
      <c r="A12" s="438"/>
      <c r="B12" s="465" t="s">
        <v>303</v>
      </c>
      <c r="C12" s="439">
        <v>3677000</v>
      </c>
    </row>
    <row r="13" spans="1:67">
      <c r="A13" s="438"/>
      <c r="B13" s="465" t="s">
        <v>304</v>
      </c>
      <c r="C13" s="439">
        <v>4546300</v>
      </c>
    </row>
    <row r="14" spans="1:67">
      <c r="A14" s="438"/>
      <c r="B14" s="436"/>
      <c r="C14" s="444"/>
    </row>
    <row r="15" spans="1:67">
      <c r="A15" s="438" t="s">
        <v>188</v>
      </c>
      <c r="B15" s="437" t="s">
        <v>305</v>
      </c>
      <c r="C15" s="445">
        <f>C8+C12-C13</f>
        <v>1504864</v>
      </c>
    </row>
    <row r="16" spans="1:67">
      <c r="A16" s="446"/>
      <c r="B16" s="465" t="s">
        <v>541</v>
      </c>
      <c r="C16" s="439">
        <v>0</v>
      </c>
    </row>
    <row r="17" spans="1:8">
      <c r="A17" s="446"/>
      <c r="B17" s="465" t="s">
        <v>542</v>
      </c>
      <c r="C17" s="439">
        <v>1504864</v>
      </c>
    </row>
    <row r="18" spans="1:8">
      <c r="A18" s="446"/>
      <c r="B18" t="s">
        <v>306</v>
      </c>
      <c r="C18" s="445">
        <f>C16+C17</f>
        <v>1504864</v>
      </c>
    </row>
    <row r="19" spans="1:8">
      <c r="A19" s="438"/>
      <c r="B19" s="437"/>
      <c r="C19" s="447"/>
    </row>
    <row r="20" spans="1:8">
      <c r="A20" s="438" t="s">
        <v>191</v>
      </c>
      <c r="B20" s="437" t="s">
        <v>307</v>
      </c>
      <c r="C20" s="447"/>
    </row>
    <row r="21" spans="1:8">
      <c r="A21" s="438"/>
      <c r="B21" s="465" t="s">
        <v>308</v>
      </c>
      <c r="C21" s="439">
        <v>0</v>
      </c>
    </row>
    <row r="22" spans="1:8">
      <c r="A22" s="438"/>
      <c r="B22" s="466" t="s">
        <v>309</v>
      </c>
      <c r="C22" s="439">
        <v>810800</v>
      </c>
    </row>
    <row r="23" spans="1:8">
      <c r="A23" s="438"/>
      <c r="B23" s="466" t="s">
        <v>310</v>
      </c>
      <c r="C23" s="439">
        <v>0</v>
      </c>
    </row>
    <row r="24" spans="1:8">
      <c r="A24" s="438"/>
      <c r="B24" s="465" t="s">
        <v>311</v>
      </c>
      <c r="C24" s="439">
        <f>1504864-810800</f>
        <v>694064</v>
      </c>
    </row>
    <row r="25" spans="1:8">
      <c r="A25" s="435"/>
      <c r="B25" s="353" t="s">
        <v>312</v>
      </c>
      <c r="C25" s="445">
        <f>SUM(C21:C24)</f>
        <v>1504864</v>
      </c>
    </row>
    <row r="26" spans="1:8">
      <c r="A26" s="446"/>
      <c r="B26" s="353"/>
    </row>
    <row r="27" spans="1:8">
      <c r="A27" s="446"/>
      <c r="B27" s="353"/>
      <c r="C27" s="353"/>
    </row>
    <row r="28" spans="1:8" ht="14.25" customHeight="1">
      <c r="A28" s="438" t="s">
        <v>194</v>
      </c>
      <c r="B28" s="465" t="s">
        <v>313</v>
      </c>
      <c r="C28" s="353"/>
      <c r="D28" s="416"/>
      <c r="E28" s="416"/>
      <c r="F28" s="416"/>
      <c r="G28" s="416"/>
      <c r="H28" s="416"/>
    </row>
    <row r="29" spans="1:8">
      <c r="A29" s="575" t="s">
        <v>593</v>
      </c>
      <c r="B29" s="576"/>
      <c r="C29" s="577"/>
    </row>
    <row r="30" spans="1:8">
      <c r="A30" s="578"/>
      <c r="B30" s="579"/>
      <c r="C30" s="580"/>
    </row>
    <row r="31" spans="1:8">
      <c r="A31" s="578"/>
      <c r="B31" s="579"/>
      <c r="C31" s="580"/>
    </row>
    <row r="32" spans="1:8">
      <c r="A32" s="578"/>
      <c r="B32" s="579"/>
      <c r="C32" s="580"/>
    </row>
    <row r="33" spans="1:3">
      <c r="A33" s="578"/>
      <c r="B33" s="579"/>
      <c r="C33" s="580"/>
    </row>
    <row r="34" spans="1:3">
      <c r="A34" s="578"/>
      <c r="B34" s="579"/>
      <c r="C34" s="580"/>
    </row>
    <row r="35" spans="1:3">
      <c r="A35" s="581"/>
      <c r="B35" s="582"/>
      <c r="C35" s="583"/>
    </row>
  </sheetData>
  <sheetProtection sheet="1" objects="1" scenarios="1"/>
  <mergeCells count="3">
    <mergeCell ref="A3:H3"/>
    <mergeCell ref="A5:B5"/>
    <mergeCell ref="A29:C35"/>
  </mergeCells>
  <conditionalFormatting sqref="A29">
    <cfRule type="containsBlanks" dxfId="4" priority="2">
      <formula>LEN(TRIM(A29))=0</formula>
    </cfRule>
  </conditionalFormatting>
  <conditionalFormatting sqref="C8">
    <cfRule type="containsBlanks" dxfId="3" priority="4">
      <formula>LEN(TRIM(C8))=0</formula>
    </cfRule>
  </conditionalFormatting>
  <conditionalFormatting sqref="C12:C13">
    <cfRule type="containsBlanks" dxfId="2" priority="3">
      <formula>LEN(TRIM(C12))=0</formula>
    </cfRule>
  </conditionalFormatting>
  <conditionalFormatting sqref="C16:C17">
    <cfRule type="containsBlanks" dxfId="1" priority="1">
      <formula>LEN(TRIM(C16))=0</formula>
    </cfRule>
  </conditionalFormatting>
  <conditionalFormatting sqref="C21:C24">
    <cfRule type="containsBlanks" dxfId="0" priority="5">
      <formula>LEN(TRIM(C21))=0</formula>
    </cfRule>
  </conditionalFormatting>
  <dataValidations count="3">
    <dataValidation operator="equal" allowBlank="1" showInputMessage="1" showErrorMessage="1" promptTitle="CTD Number" prompt="This cell will only accept a CTD number of exactly 9 digits.  Enter 000 at the end of the charter number to fill the places of a school number." sqref="L2" xr:uid="{68FD9674-664A-4492-A9F0-4B38C00B1FE9}"/>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97FEC89F-9792-4C7F-8DD5-C257337358F8}">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820EA1ED-3D3C-40BA-ADA8-F0AAF776B5D0}">
      <formula1>9</formula1>
    </dataValidation>
  </dataValidations>
  <hyperlinks>
    <hyperlink ref="B8" location="ProjectBalancesLine1" display="FY 2023 final ending project balance" xr:uid="{70344A04-F8AD-41ED-BE3F-2237ACBA7418}"/>
    <hyperlink ref="B12" location="ProjectBalancesLine2a" display="(a) FY 2024 revenues" xr:uid="{38EC4ABA-5F1E-4324-A63B-323253BDE82A}"/>
    <hyperlink ref="B13" location="ProjectBalancesLine2b" display="(b) FY 2024 expenses, indirect costs, reversions, capital acquisitions, and redemption of principal" xr:uid="{CFD3A8D2-1B6F-4562-9A1B-773D57200AB6}"/>
    <hyperlink ref="B16" location="ProjectBalancesLine3a" display="(a) With donor restrictions/Restricted" xr:uid="{B30C887B-9F21-449D-B3EB-EA586C29E50C}"/>
    <hyperlink ref="B17" location="ProjectBalancesLine3b" display="(b) Without donor restrictions/Unrestricted" xr:uid="{0BF379D4-3209-4A44-97DA-16032C64A409}"/>
    <hyperlink ref="B21" location="ProjectBalancesLine4a" display="(a) Deficit balance" xr:uid="{A1A7E5D3-2445-464A-8516-C41715BCFE2A}"/>
    <hyperlink ref="B22" location="ProjectBalancesLine4b" display="(b) Planned to be spent in FY 2025 " xr:uid="{1FAE3E36-B6C6-4F9B-9258-0366025B6157}"/>
    <hyperlink ref="B23" location="ProjectBalancesLine4c" display="(c) Planned to be spent in FY 2025 to support operations of other school sites within the same charter management organization" xr:uid="{0399947E-A7FF-415D-A382-6794D9CFB8FD}"/>
    <hyperlink ref="B28" location="ProjectBalancesLine5" display="Comments (optional)" xr:uid="{C595D91A-F887-4B90-9461-B457DCB0C55E}"/>
    <hyperlink ref="B24" location="ProjectBalancesLine4d" display="(d) Maintained for spending after FY 2025" xr:uid="{D1C22C4D-1568-4497-BBC2-2BCB8183722E}"/>
  </hyperlinks>
  <pageMargins left="0.7" right="0.7" top="0.75" bottom="0.75" header="0.3" footer="0.3"/>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34" zoomScaleSheetLayoutView="100" workbookViewId="0">
      <selection activeCell="I48" sqref="I48"/>
    </sheetView>
  </sheetViews>
  <sheetFormatPr defaultColWidth="9" defaultRowHeight="13.2"/>
  <cols>
    <col min="1" max="2" width="3.4414062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29">
      <c r="A1" t="s">
        <v>0</v>
      </c>
      <c r="B1" s="353"/>
      <c r="C1" s="353"/>
      <c r="D1" s="353"/>
      <c r="E1" s="354" t="str">
        <f>CharterName</f>
        <v>Nosotros Academy</v>
      </c>
      <c r="F1" s="355"/>
      <c r="G1" s="40"/>
      <c r="I1" s="40"/>
      <c r="K1" s="429" t="s">
        <v>1</v>
      </c>
      <c r="L1" s="430" t="str">
        <f>Cover!M1</f>
        <v>Pima</v>
      </c>
      <c r="M1" s="417"/>
      <c r="N1" s="409"/>
      <c r="O1" s="429" t="s">
        <v>2</v>
      </c>
      <c r="P1" s="418" t="str">
        <f>CTD</f>
        <v>108707000</v>
      </c>
    </row>
    <row r="2" spans="1:29" ht="24.75" customHeight="1"/>
    <row r="4" spans="1:29" ht="15.6">
      <c r="A4" s="356" t="s">
        <v>314</v>
      </c>
      <c r="C4" s="179"/>
      <c r="D4" s="239"/>
      <c r="E4" s="95"/>
      <c r="F4" s="95"/>
      <c r="Q4" s="490"/>
      <c r="R4" s="490"/>
      <c r="S4" s="490"/>
      <c r="T4" s="490"/>
      <c r="U4" s="490"/>
      <c r="V4" s="490"/>
      <c r="W4" s="490"/>
      <c r="X4" s="490"/>
      <c r="Y4" s="490"/>
      <c r="Z4" s="490"/>
      <c r="AA4" s="490"/>
      <c r="AB4" s="490"/>
      <c r="AC4" s="490"/>
    </row>
    <row r="6" spans="1:29" s="149" customFormat="1" ht="114" customHeight="1">
      <c r="A6" s="357" t="str">
        <f>IF(B8="X","X",IF(B9="x","x",IF(B10="X","X",IF(B11="X","X",""))))</f>
        <v/>
      </c>
      <c r="B6" s="584" t="s">
        <v>315</v>
      </c>
      <c r="C6" s="584"/>
      <c r="D6" s="584"/>
      <c r="E6" s="584"/>
      <c r="F6" s="584"/>
      <c r="G6" s="584"/>
      <c r="H6" s="584"/>
      <c r="I6" s="584"/>
      <c r="J6" s="584"/>
      <c r="K6" s="584"/>
      <c r="L6" s="584"/>
      <c r="M6" s="584"/>
      <c r="N6" s="584"/>
      <c r="O6" s="358"/>
    </row>
    <row r="7" spans="1:29">
      <c r="J7" s="198"/>
      <c r="K7" s="198"/>
      <c r="L7" s="198"/>
      <c r="M7" s="545" t="s">
        <v>316</v>
      </c>
      <c r="N7" s="545"/>
    </row>
    <row r="8" spans="1:29" ht="38.25" customHeight="1">
      <c r="A8" s="239"/>
      <c r="B8" s="26"/>
      <c r="D8" s="598" t="s">
        <v>318</v>
      </c>
      <c r="E8" s="598"/>
      <c r="F8" s="598"/>
      <c r="G8" s="598"/>
      <c r="H8" s="598"/>
      <c r="I8" s="598"/>
      <c r="J8" s="598" t="str">
        <f>IF(B8&lt;&gt;"x","No additional information required","Please enter the name of the management company.")</f>
        <v>No additional information required</v>
      </c>
      <c r="K8" s="598"/>
      <c r="L8" s="598"/>
      <c r="M8" s="601"/>
      <c r="N8" s="601"/>
      <c r="O8" s="419"/>
      <c r="Q8" s="151" t="s">
        <v>317</v>
      </c>
    </row>
    <row r="9" spans="1:29" ht="39" customHeight="1" thickBot="1">
      <c r="A9" s="239"/>
      <c r="B9" s="27"/>
      <c r="D9" s="598" t="s">
        <v>319</v>
      </c>
      <c r="E9" s="598"/>
      <c r="F9" s="598"/>
      <c r="G9" s="598"/>
      <c r="H9" s="598"/>
      <c r="I9" s="598"/>
      <c r="J9" s="598" t="str">
        <f>IF(B9&lt;&gt;"x","No additional information required","Please enter the name of any other charter holder with identical membership.")</f>
        <v>No additional information required</v>
      </c>
      <c r="K9" s="598"/>
      <c r="L9" s="598"/>
      <c r="M9" s="601"/>
      <c r="N9" s="601"/>
      <c r="O9" s="419"/>
      <c r="Q9" s="151" t="s">
        <v>299</v>
      </c>
    </row>
    <row r="10" spans="1:29" ht="27.75" customHeight="1" thickBot="1">
      <c r="A10" s="239"/>
      <c r="B10" s="28"/>
      <c r="D10" s="598" t="s">
        <v>320</v>
      </c>
      <c r="E10" s="598"/>
      <c r="F10" s="598"/>
      <c r="G10" s="598"/>
      <c r="H10" s="598"/>
      <c r="I10" s="598"/>
      <c r="J10" s="598" t="str">
        <f>IF(B10&lt;&gt;"x","No additional information required","Please enter the name of the corporation.")</f>
        <v>No additional information required</v>
      </c>
      <c r="K10" s="598"/>
      <c r="L10" s="598"/>
      <c r="M10" s="601"/>
      <c r="N10" s="601"/>
      <c r="O10" s="419"/>
      <c r="Q10" s="151"/>
    </row>
    <row r="11" spans="1:29" ht="27.75" customHeight="1" thickBot="1">
      <c r="A11" s="239"/>
      <c r="B11" s="28"/>
      <c r="D11" s="622" t="s">
        <v>321</v>
      </c>
      <c r="E11" s="622"/>
      <c r="F11" s="622"/>
      <c r="G11" s="622"/>
      <c r="H11" s="622"/>
      <c r="I11" s="622"/>
      <c r="M11" s="409"/>
      <c r="N11" s="409"/>
      <c r="O11" s="409"/>
    </row>
    <row r="12" spans="1:29">
      <c r="A12" s="239"/>
      <c r="B12" s="239"/>
      <c r="C12" s="132"/>
      <c r="D12" s="132"/>
      <c r="E12" s="132"/>
      <c r="F12" s="132"/>
      <c r="G12" s="132"/>
      <c r="H12" s="132"/>
      <c r="I12" s="132"/>
      <c r="J12" s="132"/>
      <c r="K12" s="132"/>
      <c r="L12" s="132"/>
      <c r="M12" s="132"/>
      <c r="N12" s="132"/>
      <c r="O12" s="132"/>
    </row>
    <row r="13" spans="1:29">
      <c r="B13" s="95" t="s">
        <v>322</v>
      </c>
      <c r="C13" s="95"/>
      <c r="D13" s="95"/>
      <c r="E13" s="95"/>
    </row>
    <row r="14" spans="1:29" ht="80.25" customHeight="1">
      <c r="B14" s="584" t="s">
        <v>323</v>
      </c>
      <c r="C14" s="584"/>
      <c r="D14" s="584"/>
      <c r="E14" s="584"/>
      <c r="F14" s="584"/>
      <c r="G14" s="584"/>
      <c r="H14" s="584"/>
      <c r="I14" s="584"/>
      <c r="J14" s="584"/>
      <c r="K14" s="584"/>
      <c r="L14" s="584"/>
      <c r="M14" s="584"/>
      <c r="N14" s="584"/>
    </row>
    <row r="15" spans="1:29" ht="13.5" customHeight="1">
      <c r="B15" s="114"/>
      <c r="C15" s="114"/>
      <c r="D15" s="114"/>
      <c r="E15" s="114"/>
      <c r="F15" s="114"/>
      <c r="G15" s="114"/>
      <c r="H15" s="114"/>
      <c r="I15" s="114"/>
      <c r="J15" s="114"/>
      <c r="K15" s="114"/>
      <c r="L15" s="114"/>
      <c r="M15" s="114"/>
      <c r="N15" s="114"/>
    </row>
    <row r="16" spans="1:29">
      <c r="B16" s="604" t="s">
        <v>324</v>
      </c>
      <c r="C16" s="604"/>
      <c r="D16" s="604"/>
      <c r="E16" s="604"/>
      <c r="F16" s="526" t="s">
        <v>325</v>
      </c>
      <c r="G16" s="527"/>
      <c r="H16" s="526" t="s">
        <v>326</v>
      </c>
      <c r="I16" s="625"/>
      <c r="J16" s="527"/>
      <c r="K16" s="619" t="s">
        <v>327</v>
      </c>
      <c r="L16" s="620"/>
      <c r="M16" s="621"/>
    </row>
    <row r="17" spans="1:16">
      <c r="B17" s="607" t="s">
        <v>328</v>
      </c>
      <c r="C17" s="608"/>
      <c r="D17" s="608"/>
      <c r="E17" s="609"/>
      <c r="F17" s="613"/>
      <c r="G17" s="600"/>
      <c r="H17" s="359"/>
      <c r="I17" s="599">
        <v>135</v>
      </c>
      <c r="J17" s="600"/>
      <c r="K17" s="285"/>
      <c r="L17" s="599">
        <v>135</v>
      </c>
      <c r="M17" s="600"/>
      <c r="N17" s="198"/>
    </row>
    <row r="18" spans="1:16">
      <c r="B18" s="610" t="s">
        <v>329</v>
      </c>
      <c r="C18" s="611"/>
      <c r="D18" s="611"/>
      <c r="E18" s="612"/>
      <c r="F18" s="360"/>
      <c r="G18" s="361"/>
      <c r="H18" s="362" t="s">
        <v>330</v>
      </c>
      <c r="I18" s="602"/>
      <c r="J18" s="603"/>
      <c r="K18" s="415" t="s">
        <v>330</v>
      </c>
      <c r="L18" s="594"/>
      <c r="M18" s="595"/>
      <c r="N18" s="198"/>
    </row>
    <row r="19" spans="1:16">
      <c r="B19" s="610" t="s">
        <v>331</v>
      </c>
      <c r="C19" s="611"/>
      <c r="D19" s="611"/>
      <c r="E19" s="612"/>
      <c r="F19" s="360"/>
      <c r="G19" s="361"/>
      <c r="H19" s="362" t="s">
        <v>330</v>
      </c>
      <c r="I19" s="602"/>
      <c r="J19" s="603"/>
      <c r="K19" s="415" t="s">
        <v>330</v>
      </c>
      <c r="L19" s="594"/>
      <c r="M19" s="595"/>
    </row>
    <row r="20" spans="1:16">
      <c r="B20" s="616" t="s">
        <v>332</v>
      </c>
      <c r="C20" s="617"/>
      <c r="D20" s="617"/>
      <c r="E20" s="618"/>
      <c r="F20" s="76" t="s">
        <v>333</v>
      </c>
      <c r="G20" s="363">
        <f>F17</f>
        <v>0</v>
      </c>
      <c r="H20" s="424" t="s">
        <v>333</v>
      </c>
      <c r="I20" s="592">
        <f>I17+I18+I19</f>
        <v>135</v>
      </c>
      <c r="J20" s="593"/>
      <c r="K20" s="76" t="s">
        <v>333</v>
      </c>
      <c r="L20" s="592">
        <f>L17+L18+L19</f>
        <v>135</v>
      </c>
      <c r="M20" s="593"/>
    </row>
    <row r="22" spans="1:16">
      <c r="B22" s="95" t="s">
        <v>334</v>
      </c>
    </row>
    <row r="23" spans="1:16" ht="26.25" customHeight="1">
      <c r="B23" s="584" t="s">
        <v>335</v>
      </c>
      <c r="C23" s="584"/>
      <c r="D23" s="584"/>
      <c r="E23" s="584"/>
      <c r="F23" s="584"/>
      <c r="G23" s="584"/>
      <c r="H23" s="584"/>
      <c r="I23" s="584"/>
      <c r="J23" s="584"/>
      <c r="K23" s="584"/>
      <c r="L23" s="584"/>
      <c r="M23" s="584"/>
      <c r="N23" s="584"/>
    </row>
    <row r="24" spans="1:16">
      <c r="B24" s="364"/>
      <c r="C24" s="365"/>
      <c r="D24" s="365"/>
      <c r="E24" s="365"/>
      <c r="F24" s="365"/>
      <c r="G24" s="365"/>
      <c r="H24" s="365"/>
      <c r="I24" s="365"/>
      <c r="J24" s="365"/>
      <c r="K24" s="365"/>
      <c r="L24" s="365"/>
      <c r="M24" s="365"/>
    </row>
    <row r="25" spans="1:16">
      <c r="B25" s="423" t="s">
        <v>324</v>
      </c>
      <c r="C25" s="423"/>
      <c r="D25" s="423"/>
      <c r="E25" s="423"/>
      <c r="F25" s="526" t="s">
        <v>325</v>
      </c>
      <c r="G25" s="527"/>
      <c r="H25" s="526" t="s">
        <v>326</v>
      </c>
      <c r="I25" s="625"/>
      <c r="J25" s="527"/>
      <c r="K25" s="619" t="s">
        <v>327</v>
      </c>
      <c r="L25" s="620"/>
      <c r="M25" s="621"/>
    </row>
    <row r="26" spans="1:16">
      <c r="B26" s="424" t="s">
        <v>328</v>
      </c>
      <c r="C26" s="425"/>
      <c r="D26" s="426"/>
      <c r="F26" s="54"/>
      <c r="G26" s="32"/>
      <c r="I26" s="605"/>
      <c r="J26" s="606"/>
      <c r="K26" s="424"/>
      <c r="L26" s="605"/>
      <c r="M26" s="606"/>
      <c r="P26" s="40"/>
    </row>
    <row r="27" spans="1:16">
      <c r="B27" s="76" t="s">
        <v>329</v>
      </c>
      <c r="C27" s="236"/>
      <c r="D27" s="366"/>
      <c r="E27" s="367"/>
      <c r="F27" s="368"/>
      <c r="G27" s="369"/>
      <c r="H27" s="236" t="s">
        <v>330</v>
      </c>
      <c r="I27" s="602"/>
      <c r="J27" s="603"/>
      <c r="K27" s="76" t="s">
        <v>330</v>
      </c>
      <c r="L27" s="594"/>
      <c r="M27" s="595"/>
    </row>
    <row r="28" spans="1:16">
      <c r="B28" s="76" t="s">
        <v>331</v>
      </c>
      <c r="C28" s="236"/>
      <c r="D28" s="236"/>
      <c r="E28" s="370"/>
      <c r="F28" s="368"/>
      <c r="G28" s="369"/>
      <c r="H28" s="236" t="s">
        <v>330</v>
      </c>
      <c r="I28" s="602"/>
      <c r="J28" s="603"/>
      <c r="K28" s="76" t="s">
        <v>330</v>
      </c>
      <c r="L28" s="594"/>
      <c r="M28" s="595"/>
    </row>
    <row r="29" spans="1:16">
      <c r="B29" s="424" t="s">
        <v>332</v>
      </c>
      <c r="C29" s="425"/>
      <c r="D29" s="426"/>
      <c r="E29" s="424"/>
      <c r="F29" s="424" t="s">
        <v>333</v>
      </c>
      <c r="G29" s="363">
        <f>G26</f>
        <v>0</v>
      </c>
      <c r="H29" s="76" t="s">
        <v>333</v>
      </c>
      <c r="I29" s="592">
        <f>I26+I27+I28</f>
        <v>0</v>
      </c>
      <c r="J29" s="593"/>
      <c r="K29" s="76" t="s">
        <v>333</v>
      </c>
      <c r="L29" s="596">
        <f>L26+L27+L28</f>
        <v>0</v>
      </c>
      <c r="M29" s="597"/>
    </row>
    <row r="30" spans="1:16">
      <c r="B30" s="88"/>
    </row>
    <row r="31" spans="1:16">
      <c r="A31" s="371"/>
      <c r="B31" s="371"/>
      <c r="C31" s="372"/>
      <c r="D31" s="372"/>
      <c r="E31" s="373"/>
      <c r="F31" s="373"/>
      <c r="G31" s="372"/>
      <c r="H31" s="372"/>
      <c r="I31" s="374"/>
      <c r="K31" s="374"/>
    </row>
    <row r="32" spans="1:16" ht="15.75" customHeight="1">
      <c r="A32" s="375" t="s">
        <v>336</v>
      </c>
      <c r="C32" s="95"/>
      <c r="D32" s="95"/>
      <c r="E32" s="95"/>
      <c r="G32" s="376"/>
      <c r="H32" s="376"/>
      <c r="I32" s="376"/>
      <c r="J32" s="376"/>
      <c r="K32" s="376"/>
      <c r="L32" s="376"/>
      <c r="M32" s="376"/>
      <c r="N32" s="376"/>
      <c r="O32" s="376"/>
    </row>
    <row r="33" spans="1:21" ht="12.75" customHeight="1">
      <c r="A33" s="375"/>
      <c r="C33" s="95"/>
      <c r="D33" s="95"/>
      <c r="E33" s="95"/>
      <c r="G33" s="376"/>
      <c r="H33" s="376"/>
      <c r="I33" s="376"/>
      <c r="J33" s="376"/>
      <c r="K33" s="376"/>
      <c r="L33" s="376"/>
      <c r="M33" s="376"/>
      <c r="N33" s="376"/>
      <c r="O33" s="376"/>
    </row>
    <row r="34" spans="1:21" ht="12.75" customHeight="1">
      <c r="A34" s="375"/>
      <c r="B34" s="95" t="s">
        <v>337</v>
      </c>
      <c r="C34" s="95"/>
      <c r="D34" s="95"/>
      <c r="E34" s="95"/>
      <c r="G34" s="376"/>
      <c r="H34" s="376"/>
      <c r="I34" s="376"/>
      <c r="J34" s="376"/>
      <c r="K34" s="376"/>
      <c r="L34" s="376"/>
      <c r="M34" s="376"/>
      <c r="N34" s="376"/>
      <c r="O34" s="376"/>
    </row>
    <row r="35" spans="1:21" ht="137.25" customHeight="1">
      <c r="A35" s="95"/>
      <c r="B35" s="584" t="s">
        <v>338</v>
      </c>
      <c r="C35" s="584"/>
      <c r="D35" s="584"/>
      <c r="E35" s="584"/>
      <c r="F35" s="584"/>
      <c r="G35" s="584"/>
      <c r="H35" s="584"/>
      <c r="I35" s="584"/>
      <c r="J35" s="584"/>
      <c r="K35" s="584"/>
      <c r="L35" s="584"/>
      <c r="M35" s="584"/>
      <c r="N35" s="584"/>
      <c r="O35" s="376"/>
    </row>
    <row r="36" spans="1:21" ht="12.75" customHeight="1">
      <c r="A36" s="95"/>
      <c r="B36" s="416"/>
      <c r="C36" s="416"/>
      <c r="D36" s="416"/>
      <c r="E36" s="416"/>
      <c r="F36" s="416"/>
      <c r="G36" s="416"/>
      <c r="H36" s="416"/>
      <c r="I36" s="416"/>
      <c r="J36" s="416"/>
      <c r="K36" s="416"/>
      <c r="L36" s="416"/>
      <c r="M36" s="416"/>
      <c r="N36" s="416"/>
      <c r="O36" s="376"/>
    </row>
    <row r="37" spans="1:21" ht="51.75" customHeight="1">
      <c r="B37" s="377"/>
      <c r="C37" s="364"/>
      <c r="D37" s="364"/>
      <c r="E37" s="364"/>
      <c r="I37" s="428" t="s">
        <v>328</v>
      </c>
      <c r="J37" s="428" t="s">
        <v>339</v>
      </c>
      <c r="K37" s="623" t="s">
        <v>340</v>
      </c>
      <c r="L37" s="624"/>
      <c r="M37" s="378"/>
      <c r="O37" s="378"/>
      <c r="P37" s="378"/>
      <c r="R37" s="378"/>
      <c r="S37" s="378"/>
      <c r="U37" s="140"/>
    </row>
    <row r="38" spans="1:21">
      <c r="A38" s="411"/>
      <c r="B38" s="411">
        <v>1</v>
      </c>
      <c r="C38" s="149" t="s">
        <v>341</v>
      </c>
      <c r="I38" s="33">
        <v>44</v>
      </c>
      <c r="J38" s="34"/>
      <c r="K38" s="585"/>
      <c r="L38" s="586"/>
      <c r="M38" s="380"/>
      <c r="N38" s="109"/>
      <c r="O38" s="376"/>
      <c r="P38" s="380"/>
      <c r="R38" s="376"/>
      <c r="S38" s="380"/>
    </row>
    <row r="39" spans="1:21">
      <c r="A39" s="411"/>
      <c r="B39" s="411">
        <v>2</v>
      </c>
      <c r="C39" s="149" t="s">
        <v>342</v>
      </c>
      <c r="I39" s="33">
        <v>44</v>
      </c>
      <c r="J39" s="34"/>
      <c r="K39" s="585"/>
      <c r="L39" s="586"/>
      <c r="M39" s="380"/>
      <c r="N39" s="109"/>
      <c r="O39" s="376"/>
      <c r="P39" s="380"/>
      <c r="R39" s="376"/>
      <c r="S39" s="380"/>
    </row>
    <row r="40" spans="1:21">
      <c r="A40" s="411"/>
      <c r="B40" s="411">
        <v>3</v>
      </c>
      <c r="C40" s="149" t="s">
        <v>343</v>
      </c>
      <c r="I40" s="33">
        <v>41</v>
      </c>
      <c r="J40" s="34"/>
      <c r="K40" s="585"/>
      <c r="L40" s="586"/>
      <c r="M40" s="380"/>
      <c r="N40" s="109"/>
      <c r="O40" s="376"/>
      <c r="P40" s="380"/>
      <c r="R40" s="376"/>
      <c r="S40" s="380"/>
    </row>
    <row r="41" spans="1:21">
      <c r="A41" s="411"/>
      <c r="B41" s="411">
        <v>4</v>
      </c>
      <c r="C41" s="149" t="s">
        <v>344</v>
      </c>
      <c r="I41" s="33"/>
      <c r="J41" s="34"/>
      <c r="K41" s="585"/>
      <c r="L41" s="586"/>
      <c r="M41" s="380"/>
      <c r="N41" s="109"/>
      <c r="O41" s="376"/>
      <c r="P41" s="380"/>
      <c r="R41" s="376"/>
      <c r="S41" s="380"/>
    </row>
    <row r="42" spans="1:21">
      <c r="A42" s="411"/>
      <c r="B42" s="411">
        <v>5</v>
      </c>
      <c r="C42" s="149" t="s">
        <v>345</v>
      </c>
      <c r="I42" s="33">
        <v>2</v>
      </c>
      <c r="J42" s="34"/>
      <c r="K42" s="585"/>
      <c r="L42" s="586"/>
      <c r="M42" s="380"/>
      <c r="N42" s="109"/>
      <c r="O42" s="376"/>
      <c r="P42" s="380"/>
      <c r="R42" s="376"/>
      <c r="S42" s="380"/>
    </row>
    <row r="43" spans="1:21">
      <c r="A43" s="411"/>
      <c r="B43" s="411">
        <v>6</v>
      </c>
      <c r="C43" s="149" t="s">
        <v>346</v>
      </c>
      <c r="I43" s="33"/>
      <c r="J43" s="34"/>
      <c r="K43" s="585"/>
      <c r="L43" s="586"/>
      <c r="M43" s="380"/>
      <c r="N43" s="109"/>
      <c r="O43" s="376"/>
      <c r="P43" s="380"/>
      <c r="R43" s="376"/>
      <c r="S43" s="380"/>
    </row>
    <row r="44" spans="1:21">
      <c r="A44" s="411"/>
      <c r="B44" s="411">
        <v>7</v>
      </c>
      <c r="C44" s="149" t="s">
        <v>347</v>
      </c>
      <c r="I44" s="33"/>
      <c r="J44" s="34"/>
      <c r="K44" s="585"/>
      <c r="L44" s="586"/>
      <c r="M44" s="380"/>
      <c r="N44" s="109"/>
      <c r="O44" s="376"/>
      <c r="P44" s="380"/>
      <c r="R44" s="376"/>
      <c r="S44" s="380"/>
    </row>
    <row r="45" spans="1:21">
      <c r="A45" s="411"/>
      <c r="B45" s="411">
        <v>8</v>
      </c>
      <c r="C45" s="149" t="s">
        <v>348</v>
      </c>
      <c r="I45" s="33"/>
      <c r="J45" s="34"/>
      <c r="K45" s="585"/>
      <c r="L45" s="586"/>
      <c r="M45" s="380"/>
      <c r="N45" s="109"/>
      <c r="O45" s="376"/>
      <c r="P45" s="380"/>
      <c r="R45" s="376"/>
      <c r="S45" s="380"/>
    </row>
    <row r="46" spans="1:21">
      <c r="A46" s="411"/>
      <c r="B46" s="411">
        <v>9</v>
      </c>
      <c r="C46" s="149" t="s">
        <v>349</v>
      </c>
      <c r="I46" s="33"/>
      <c r="J46" s="34"/>
      <c r="K46" s="585"/>
      <c r="L46" s="586"/>
      <c r="M46" s="380"/>
      <c r="N46" s="109"/>
      <c r="O46" s="376"/>
      <c r="P46" s="380"/>
      <c r="R46" s="376"/>
      <c r="S46" s="380"/>
    </row>
    <row r="47" spans="1:21">
      <c r="A47" s="411"/>
      <c r="B47" s="411">
        <v>10</v>
      </c>
      <c r="C47" s="149" t="s">
        <v>350</v>
      </c>
      <c r="I47" s="33"/>
      <c r="J47" s="381"/>
      <c r="K47" s="590"/>
      <c r="L47" s="591"/>
      <c r="M47" s="380"/>
      <c r="N47" s="109"/>
      <c r="O47" s="376"/>
      <c r="P47" s="380"/>
      <c r="R47" s="376"/>
      <c r="S47" s="380"/>
    </row>
    <row r="48" spans="1:21">
      <c r="A48" s="411"/>
      <c r="B48" s="411">
        <v>11</v>
      </c>
      <c r="C48" s="149" t="s">
        <v>351</v>
      </c>
      <c r="I48" s="33">
        <v>34</v>
      </c>
      <c r="J48" s="34"/>
      <c r="K48" s="585"/>
      <c r="L48" s="586"/>
      <c r="M48" s="380"/>
      <c r="N48" s="109"/>
      <c r="O48" s="376"/>
      <c r="P48" s="380"/>
      <c r="R48" s="376"/>
      <c r="S48" s="380"/>
    </row>
    <row r="49" spans="1:19">
      <c r="A49" s="411"/>
      <c r="B49" s="411">
        <v>12</v>
      </c>
      <c r="C49" s="149" t="s">
        <v>352</v>
      </c>
      <c r="I49" s="33"/>
      <c r="J49" s="34"/>
      <c r="K49" s="585"/>
      <c r="L49" s="586"/>
      <c r="M49" s="380"/>
      <c r="N49" s="109"/>
      <c r="O49" s="376"/>
      <c r="P49" s="380"/>
      <c r="R49" s="376"/>
      <c r="S49" s="380"/>
    </row>
    <row r="50" spans="1:19">
      <c r="A50" s="411"/>
      <c r="B50" s="411">
        <v>13</v>
      </c>
      <c r="C50" s="149" t="s">
        <v>353</v>
      </c>
      <c r="I50" s="33"/>
      <c r="J50" s="34"/>
      <c r="K50" s="585"/>
      <c r="L50" s="586"/>
      <c r="M50" s="380"/>
      <c r="N50" s="109"/>
      <c r="O50" s="376"/>
      <c r="P50" s="380"/>
      <c r="R50" s="376"/>
      <c r="S50" s="380"/>
    </row>
    <row r="51" spans="1:19">
      <c r="A51" s="411"/>
      <c r="B51" s="411">
        <v>14</v>
      </c>
      <c r="C51" s="149" t="s">
        <v>354</v>
      </c>
      <c r="I51" s="33"/>
      <c r="J51" s="34"/>
      <c r="K51" s="585"/>
      <c r="L51" s="586"/>
      <c r="M51" s="380"/>
      <c r="N51" s="109"/>
      <c r="O51" s="376"/>
      <c r="P51" s="380"/>
      <c r="R51" s="376"/>
      <c r="S51" s="380"/>
    </row>
    <row r="52" spans="1:19">
      <c r="A52" s="411"/>
      <c r="B52" s="411">
        <v>15</v>
      </c>
      <c r="C52" s="382" t="s">
        <v>355</v>
      </c>
      <c r="D52" s="198"/>
      <c r="E52" s="198"/>
      <c r="I52" s="33"/>
      <c r="J52" s="34"/>
      <c r="K52" s="585"/>
      <c r="L52" s="586"/>
      <c r="M52" s="380"/>
      <c r="N52" s="109"/>
      <c r="O52" s="376"/>
      <c r="P52" s="380"/>
      <c r="R52" s="376"/>
      <c r="S52" s="380"/>
    </row>
    <row r="53" spans="1:19">
      <c r="A53" s="411"/>
      <c r="B53" s="411">
        <v>16</v>
      </c>
      <c r="C53" s="125" t="s">
        <v>356</v>
      </c>
      <c r="D53" s="125"/>
      <c r="E53" s="125"/>
      <c r="F53" s="125"/>
      <c r="G53" s="125"/>
      <c r="I53" s="33">
        <v>242</v>
      </c>
      <c r="J53" s="34"/>
      <c r="K53" s="585"/>
      <c r="L53" s="586"/>
      <c r="M53" s="380"/>
      <c r="N53" s="109"/>
      <c r="O53" s="109"/>
      <c r="P53" s="380"/>
      <c r="R53" s="380"/>
      <c r="S53" s="380"/>
    </row>
    <row r="54" spans="1:19">
      <c r="A54" s="411"/>
      <c r="B54" s="411">
        <v>17</v>
      </c>
      <c r="C54" t="s">
        <v>357</v>
      </c>
      <c r="D54" s="198"/>
      <c r="E54" s="198"/>
      <c r="I54" s="379">
        <f>SUM(I38:I53)</f>
        <v>407</v>
      </c>
      <c r="J54" s="383">
        <f>SUM(J38:J53)</f>
        <v>0</v>
      </c>
      <c r="K54" s="587">
        <f>SUM(K38:K53)</f>
        <v>0</v>
      </c>
      <c r="L54" s="588"/>
      <c r="M54" s="380"/>
      <c r="N54" s="109"/>
      <c r="O54" s="109"/>
      <c r="P54" s="380"/>
      <c r="R54" s="380"/>
      <c r="S54" s="380"/>
    </row>
    <row r="55" spans="1:19" ht="14.25" customHeight="1">
      <c r="A55" s="411"/>
      <c r="B55" s="384" t="s">
        <v>358</v>
      </c>
      <c r="C55" s="149" t="s">
        <v>359</v>
      </c>
      <c r="D55" s="149"/>
      <c r="E55" s="149"/>
      <c r="F55" s="149"/>
      <c r="G55" s="149"/>
      <c r="H55" s="149"/>
      <c r="I55" s="385"/>
      <c r="J55" s="386"/>
      <c r="K55" s="387"/>
      <c r="L55" s="387"/>
      <c r="M55" s="388"/>
      <c r="N55" s="389"/>
      <c r="O55" s="109"/>
      <c r="P55" s="380"/>
      <c r="R55" s="380"/>
      <c r="S55" s="380"/>
    </row>
    <row r="56" spans="1:19" ht="14.25" customHeight="1">
      <c r="A56" s="411"/>
      <c r="B56" s="384" t="s">
        <v>360</v>
      </c>
      <c r="C56" s="149" t="s">
        <v>361</v>
      </c>
      <c r="D56" s="149"/>
      <c r="E56" s="149"/>
      <c r="F56" s="149"/>
      <c r="G56" s="149"/>
      <c r="H56" s="149"/>
      <c r="I56" s="385"/>
      <c r="J56" s="386"/>
      <c r="K56" s="387"/>
      <c r="L56" s="387"/>
      <c r="M56" s="388"/>
      <c r="N56" s="389"/>
      <c r="O56" s="109"/>
      <c r="P56" s="380"/>
      <c r="R56" s="380"/>
      <c r="S56" s="380"/>
    </row>
    <row r="57" spans="1:19">
      <c r="A57" s="411"/>
      <c r="B57" s="384" t="s">
        <v>362</v>
      </c>
      <c r="C57" s="535" t="s">
        <v>363</v>
      </c>
      <c r="D57" s="535"/>
      <c r="E57" s="535"/>
      <c r="F57" s="535"/>
      <c r="G57" s="535"/>
      <c r="H57" s="535"/>
      <c r="I57" s="535"/>
      <c r="J57" s="535"/>
      <c r="K57" s="535"/>
      <c r="L57" s="535"/>
      <c r="M57" s="535"/>
      <c r="N57" s="535"/>
      <c r="O57" s="109"/>
      <c r="P57" s="380"/>
      <c r="R57" s="380"/>
      <c r="S57" s="380"/>
    </row>
    <row r="58" spans="1:19">
      <c r="A58" s="411"/>
      <c r="B58" s="276"/>
      <c r="C58" s="535"/>
      <c r="D58" s="535"/>
      <c r="E58" s="535"/>
      <c r="F58" s="535"/>
      <c r="G58" s="535"/>
      <c r="H58" s="535"/>
      <c r="I58" s="535"/>
      <c r="J58" s="535"/>
      <c r="K58" s="535"/>
      <c r="L58" s="535"/>
      <c r="M58" s="535"/>
      <c r="N58" s="535"/>
      <c r="O58" s="109"/>
      <c r="P58" s="380"/>
      <c r="R58" s="380"/>
      <c r="S58" s="380"/>
    </row>
    <row r="59" spans="1:19" ht="40.65" customHeight="1">
      <c r="A59" s="411"/>
      <c r="B59" s="384" t="s">
        <v>364</v>
      </c>
      <c r="C59" s="535" t="s">
        <v>539</v>
      </c>
      <c r="D59" s="535"/>
      <c r="E59" s="535"/>
      <c r="F59" s="535"/>
      <c r="G59" s="535"/>
      <c r="H59" s="535"/>
      <c r="I59" s="535"/>
      <c r="J59" s="535"/>
      <c r="K59" s="535"/>
      <c r="L59" s="535"/>
      <c r="M59" s="535"/>
      <c r="N59" s="535"/>
      <c r="O59" s="535"/>
      <c r="P59" s="380"/>
      <c r="R59" s="380"/>
      <c r="S59" s="380"/>
    </row>
    <row r="60" spans="1:19" ht="12" customHeight="1">
      <c r="B60" s="384" t="s">
        <v>365</v>
      </c>
      <c r="C60" s="589" t="s">
        <v>366</v>
      </c>
      <c r="D60" s="589"/>
      <c r="E60" s="589"/>
      <c r="F60" s="589"/>
      <c r="G60" s="589"/>
      <c r="H60" s="589"/>
      <c r="I60" s="589"/>
      <c r="J60" s="589"/>
      <c r="K60" s="589"/>
      <c r="L60" s="589"/>
      <c r="M60" s="589"/>
      <c r="N60" s="589"/>
      <c r="O60" s="390"/>
      <c r="P60" s="390"/>
      <c r="Q60" s="390"/>
      <c r="R60" s="390"/>
      <c r="S60" s="390"/>
    </row>
    <row r="61" spans="1:19" ht="15.6">
      <c r="A61" s="375"/>
      <c r="C61" s="589"/>
      <c r="D61" s="589"/>
      <c r="E61" s="589"/>
      <c r="F61" s="589"/>
      <c r="G61" s="589"/>
      <c r="H61" s="589"/>
      <c r="I61" s="589"/>
      <c r="J61" s="589"/>
      <c r="K61" s="589"/>
      <c r="L61" s="589"/>
      <c r="M61" s="589"/>
      <c r="N61" s="589"/>
      <c r="O61" s="390"/>
      <c r="P61" s="390"/>
      <c r="Q61" s="390"/>
      <c r="R61" s="390"/>
      <c r="S61" s="390"/>
    </row>
    <row r="62" spans="1:19" ht="15.6">
      <c r="A62" s="375"/>
      <c r="C62" s="391"/>
      <c r="D62" s="391"/>
      <c r="E62" s="391"/>
      <c r="F62" s="391"/>
      <c r="G62" s="391"/>
      <c r="H62" s="391"/>
      <c r="I62" s="391"/>
      <c r="J62" s="391"/>
      <c r="K62" s="391"/>
      <c r="L62" s="391"/>
      <c r="M62" s="391"/>
      <c r="N62" s="391"/>
      <c r="O62" s="391"/>
      <c r="P62" s="391"/>
      <c r="Q62" s="390"/>
      <c r="R62" s="390"/>
      <c r="S62" s="390"/>
    </row>
    <row r="63" spans="1:19" ht="16.2" thickBot="1">
      <c r="A63" s="375" t="s">
        <v>367</v>
      </c>
    </row>
    <row r="64" spans="1:19" ht="13.8" thickBot="1">
      <c r="B64" s="392">
        <v>1</v>
      </c>
      <c r="C64" s="29"/>
      <c r="D64" s="501" t="s">
        <v>368</v>
      </c>
      <c r="E64" s="501"/>
      <c r="F64" s="501"/>
      <c r="G64" s="501"/>
      <c r="H64" s="501"/>
      <c r="I64" s="501"/>
      <c r="J64" s="501"/>
      <c r="K64" s="501"/>
      <c r="L64" s="501"/>
      <c r="M64" s="429"/>
      <c r="N64" s="393"/>
      <c r="O64" s="372"/>
      <c r="P64" s="372"/>
    </row>
    <row r="65" spans="1:14" ht="78" customHeight="1">
      <c r="B65" s="392"/>
      <c r="C65" s="584" t="s">
        <v>553</v>
      </c>
      <c r="D65" s="584"/>
      <c r="E65" s="584"/>
      <c r="F65" s="584"/>
      <c r="G65" s="584"/>
      <c r="H65" s="584"/>
      <c r="I65" s="584"/>
      <c r="J65" s="584"/>
      <c r="M65" s="429"/>
      <c r="N65" s="393"/>
    </row>
    <row r="66" spans="1:14">
      <c r="B66" s="392"/>
      <c r="C66" s="138"/>
      <c r="D66" s="138"/>
      <c r="E66" s="138"/>
      <c r="F66" s="138"/>
      <c r="G66" s="138"/>
      <c r="H66" s="138"/>
      <c r="M66" s="429"/>
      <c r="N66" s="393"/>
    </row>
    <row r="67" spans="1:14">
      <c r="B67" s="392">
        <v>2</v>
      </c>
      <c r="C67" t="s">
        <v>369</v>
      </c>
      <c r="M67" s="429" t="s">
        <v>8</v>
      </c>
      <c r="N67" s="30"/>
    </row>
    <row r="68" spans="1:14" ht="138.75" customHeight="1">
      <c r="B68" s="392"/>
      <c r="C68" s="584" t="s">
        <v>370</v>
      </c>
      <c r="D68" s="584"/>
      <c r="E68" s="584"/>
      <c r="F68" s="584"/>
      <c r="G68" s="584"/>
      <c r="H68" s="584"/>
      <c r="I68" s="584"/>
      <c r="J68" s="584"/>
      <c r="M68" s="429"/>
      <c r="N68" s="393"/>
    </row>
    <row r="69" spans="1:14" ht="165" customHeight="1">
      <c r="B69" s="392"/>
      <c r="C69" s="584" t="s">
        <v>371</v>
      </c>
      <c r="D69" s="584"/>
      <c r="E69" s="584"/>
      <c r="F69" s="584"/>
      <c r="G69" s="584"/>
      <c r="H69" s="584"/>
      <c r="I69" s="584"/>
      <c r="J69" s="584"/>
      <c r="K69" s="114"/>
      <c r="L69" s="114"/>
      <c r="M69" s="429"/>
      <c r="N69" s="393"/>
    </row>
    <row r="70" spans="1:14">
      <c r="B70" s="392"/>
      <c r="C70" s="138"/>
      <c r="D70" s="138"/>
      <c r="E70" s="138"/>
      <c r="F70" s="138"/>
      <c r="G70" s="138"/>
      <c r="H70" s="138"/>
      <c r="M70" s="429"/>
      <c r="N70" s="393"/>
    </row>
    <row r="71" spans="1:14">
      <c r="B71" s="392">
        <v>3</v>
      </c>
      <c r="C71" t="s">
        <v>372</v>
      </c>
      <c r="M71" s="429" t="s">
        <v>8</v>
      </c>
      <c r="N71" s="30">
        <f>26634-9125</f>
        <v>17509</v>
      </c>
    </row>
    <row r="72" spans="1:14" ht="98.25" customHeight="1">
      <c r="B72" s="392"/>
      <c r="C72" s="584" t="s">
        <v>373</v>
      </c>
      <c r="D72" s="584"/>
      <c r="E72" s="584"/>
      <c r="F72" s="584"/>
      <c r="G72" s="584"/>
      <c r="H72" s="584"/>
      <c r="I72" s="584"/>
      <c r="J72" s="584"/>
      <c r="M72" s="429"/>
      <c r="N72" s="393"/>
    </row>
    <row r="73" spans="1:14">
      <c r="B73" s="392"/>
      <c r="C73" s="138"/>
      <c r="D73" s="138"/>
      <c r="E73" s="138"/>
      <c r="F73" s="138"/>
      <c r="M73" s="429"/>
      <c r="N73" s="393"/>
    </row>
    <row r="74" spans="1:14" ht="14.25" customHeight="1">
      <c r="B74" s="221">
        <v>4</v>
      </c>
      <c r="C74" t="s">
        <v>374</v>
      </c>
      <c r="M74" s="429" t="s">
        <v>8</v>
      </c>
      <c r="N74" s="30">
        <v>9125</v>
      </c>
    </row>
    <row r="75" spans="1:14" ht="53.25" customHeight="1">
      <c r="C75" s="584" t="s">
        <v>375</v>
      </c>
      <c r="D75" s="584"/>
      <c r="E75" s="584"/>
      <c r="F75" s="584"/>
      <c r="G75" s="584"/>
      <c r="H75" s="584"/>
      <c r="I75" s="584"/>
      <c r="J75" s="584"/>
    </row>
    <row r="76" spans="1:14">
      <c r="C76" s="419"/>
      <c r="D76" s="419"/>
      <c r="E76" s="419"/>
      <c r="F76" s="419"/>
      <c r="G76" s="419"/>
      <c r="H76" s="419"/>
      <c r="I76" s="419"/>
      <c r="J76" s="419"/>
    </row>
    <row r="77" spans="1:14" s="198" customFormat="1">
      <c r="B77" s="221">
        <v>5</v>
      </c>
      <c r="C77" t="s">
        <v>376</v>
      </c>
      <c r="M77" s="429" t="s">
        <v>8</v>
      </c>
      <c r="N77" s="30"/>
    </row>
    <row r="78" spans="1:14" s="198" customFormat="1" ht="85.5" customHeight="1">
      <c r="C78" s="584" t="s">
        <v>377</v>
      </c>
      <c r="D78" s="584"/>
      <c r="E78" s="584"/>
      <c r="F78" s="584"/>
      <c r="G78" s="584"/>
      <c r="H78" s="584"/>
      <c r="I78" s="584"/>
      <c r="J78" s="584"/>
    </row>
    <row r="79" spans="1:14" ht="13.5" customHeight="1"/>
    <row r="80" spans="1:14" ht="15.6">
      <c r="A80" s="614" t="s">
        <v>378</v>
      </c>
      <c r="B80" s="615"/>
      <c r="C80" s="615"/>
      <c r="D80" s="615"/>
      <c r="E80" s="615"/>
      <c r="F80" s="615"/>
      <c r="G80" s="615"/>
      <c r="H80" s="615"/>
      <c r="I80" s="615"/>
      <c r="J80" s="615"/>
      <c r="K80" s="615"/>
      <c r="L80" s="615"/>
      <c r="M80" s="615"/>
      <c r="N80" s="615"/>
    </row>
    <row r="82" spans="2:14">
      <c r="B82" s="392">
        <v>1</v>
      </c>
      <c r="C82" t="s">
        <v>379</v>
      </c>
      <c r="M82" s="429"/>
      <c r="N82" s="35">
        <v>2.72E-4</v>
      </c>
    </row>
    <row r="83" spans="2:14" ht="57" customHeight="1">
      <c r="C83" s="584" t="s">
        <v>380</v>
      </c>
      <c r="D83" s="584"/>
      <c r="E83" s="584"/>
      <c r="F83" s="584"/>
      <c r="G83" s="584"/>
      <c r="H83" s="584"/>
      <c r="I83" s="584"/>
      <c r="J83" s="584"/>
    </row>
    <row r="84" spans="2:14">
      <c r="C84" s="144"/>
      <c r="D84" s="144"/>
      <c r="E84" s="144"/>
      <c r="F84" s="144"/>
      <c r="G84" s="144"/>
      <c r="H84" s="144"/>
      <c r="I84" s="144"/>
      <c r="J84" s="144"/>
    </row>
    <row r="85" spans="2:14" ht="59.25" customHeight="1"/>
  </sheetData>
  <sheetProtection sheet="1" formatColumns="0" formatRows="0"/>
  <mergeCells count="74">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K25:M25"/>
    <mergeCell ref="F16:G16"/>
    <mergeCell ref="B16:E16"/>
    <mergeCell ref="K49:L49"/>
    <mergeCell ref="K38:L38"/>
    <mergeCell ref="L26:M26"/>
    <mergeCell ref="K46:L46"/>
    <mergeCell ref="K43:L43"/>
    <mergeCell ref="B17:E17"/>
    <mergeCell ref="B19:E19"/>
    <mergeCell ref="I19:J19"/>
    <mergeCell ref="F17:G17"/>
    <mergeCell ref="F25:G25"/>
    <mergeCell ref="I26:J26"/>
    <mergeCell ref="K48:L48"/>
    <mergeCell ref="I27:J27"/>
    <mergeCell ref="I28:J28"/>
    <mergeCell ref="Q4:AC4"/>
    <mergeCell ref="L20:M20"/>
    <mergeCell ref="J8:L8"/>
    <mergeCell ref="J9:L9"/>
    <mergeCell ref="J10:L10"/>
    <mergeCell ref="L17:M17"/>
    <mergeCell ref="M10:N10"/>
    <mergeCell ref="L18:M18"/>
    <mergeCell ref="M7:N7"/>
    <mergeCell ref="I17:J17"/>
    <mergeCell ref="I18:J18"/>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L29:M29"/>
    <mergeCell ref="C78:J78"/>
    <mergeCell ref="C75:J75"/>
    <mergeCell ref="K39:L39"/>
    <mergeCell ref="K52:L52"/>
    <mergeCell ref="K54:L54"/>
    <mergeCell ref="K40:L40"/>
    <mergeCell ref="C72:J72"/>
    <mergeCell ref="K45:L45"/>
    <mergeCell ref="C69:J69"/>
    <mergeCell ref="K51:L51"/>
    <mergeCell ref="C60:N61"/>
    <mergeCell ref="C59:O59"/>
    <mergeCell ref="K53:L53"/>
    <mergeCell ref="D64:L64"/>
    <mergeCell ref="K50:L50"/>
  </mergeCells>
  <dataValidations count="3">
    <dataValidation type="list" allowBlank="1" showInputMessage="1" showErrorMessage="1" sqref="C64" xr:uid="{00000000-0002-0000-0800-000000000000}">
      <formula1>"X"</formula1>
    </dataValidation>
    <dataValidation type="list" allowBlank="1" showInputMessage="1" showErrorMessage="1" sqref="B8:B11" xr:uid="{00000000-0002-0000-08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800-000002000000}">
      <formula1>N77&lt;=0</formula1>
    </dataValidation>
  </dataValidations>
  <pageMargins left="0.7" right="0.7" top="0.75" bottom="0.75" header="0.3" footer="0.3"/>
  <pageSetup paperSize="5" scale="44" fitToWidth="0" orientation="portrait" r:id="rId1"/>
  <headerFooter>
    <oddFooter>&amp;L&amp;"Arial,Bold"Rev. 5/24 Arizona Department of Education and Auditor General&amp;R&amp;"Arial,Bold"Data Entry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TaxCatchAll xmlns="ffcdc2e4-c8f2-4bf7-ab1d-ea300bde3fd8" xsi:nil="true"/>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9082ED3-C6FB-41F2-8F4B-6393904E35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322</vt:i4>
      </vt:variant>
    </vt:vector>
  </HeadingPairs>
  <TitlesOfParts>
    <vt:vector size="334" baseType="lpstr">
      <vt:lpstr>Cover</vt:lpstr>
      <vt:lpstr>Charter Contacts</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Ronald Kovar</cp:lastModifiedBy>
  <cp:lastPrinted>2024-06-12T08:48:23Z</cp:lastPrinted>
  <dcterms:created xsi:type="dcterms:W3CDTF">1997-10-07T12:25:08Z</dcterms:created>
  <dcterms:modified xsi:type="dcterms:W3CDTF">2024-06-12T09:06:50Z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B7591CB0-FE43-427D-917A-94FAF77F73D0</vt:lpwstr>
  </property>
  <property fmtid="{D5CDD505-2E9C-101B-9397-08002B2CF9AE}" pid="8" name="MediaServiceImageTags">
    <vt:lpwstr/>
  </property>
</Properties>
</file>